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Default Extension="png" ContentType="image/png"/>
  <Override PartName="/xl/charts/chart5.xml" ContentType="application/vnd.openxmlformats-officedocument.drawingml.chart+xml"/>
  <Override PartName="/xl/drawings/drawing7.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75" windowWidth="19320" windowHeight="9975" tabRatio="657"/>
  </bookViews>
  <sheets>
    <sheet name="Project LCA &amp; TEA" sheetId="1" r:id="rId1"/>
    <sheet name="EROI vs IRR VestOnshore2MW" sheetId="3" r:id="rId2"/>
    <sheet name="JEDI Project data" sheetId="7" r:id="rId3"/>
    <sheet name="NREL_OnlineCashFlow_SEA3.1" sheetId="10" r:id="rId4"/>
    <sheet name="LCA Vestas Onshore 2.0MW" sheetId="4" r:id="rId5"/>
    <sheet name="EconomicValueEnergy" sheetId="6" r:id="rId6"/>
    <sheet name="NREL_OnlineWindFinancing" sheetId="9" r:id="rId7"/>
    <sheet name="FinancialCalcs" sheetId="5" r:id="rId8"/>
    <sheet name="JEDI Project data_TX_CK" sheetId="8" r:id="rId9"/>
  </sheets>
  <externalReferences>
    <externalReference r:id="rId10"/>
    <externalReference r:id="rId11"/>
    <externalReference r:id="rId12"/>
    <externalReference r:id="rId13"/>
    <externalReference r:id="rId14"/>
  </externalReferences>
  <definedNames>
    <definedName name="_btuAv">'Project LCA &amp; TEA'!$F$69</definedName>
    <definedName name="_dur">'Project LCA &amp; TEA'!$C$9</definedName>
    <definedName name="_fWhAv">'Project LCA &amp; TEA'!$J$71</definedName>
    <definedName name="_kW">'JEDI Project data'!$F$16</definedName>
    <definedName name="_KWturb">'JEDI Project data'!$B$18</definedName>
    <definedName name="_LWhAv">'Project LCA &amp; TEA'!$L$71</definedName>
    <definedName name="_MW">'JEDI Project data'!$B$16</definedName>
    <definedName name="_MWhA">'Project LCA &amp; TEA'!#REF!</definedName>
    <definedName name="_MWhB">'Project LCA &amp; TEA'!#REF!</definedName>
    <definedName name="_MWhC">'Project LCA &amp; TEA'!#REF!</definedName>
    <definedName name="_WhAv">'Project LCA &amp; TEA'!$H$69</definedName>
    <definedName name="_WhAvx">'Project LCA &amp; TEA'!$H$69</definedName>
    <definedName name="_xlnm.Print_Area" localSheetId="0">'Project LCA &amp; TEA'!$A$1:$AD$123</definedName>
  </definedNames>
  <calcPr calcId="125725"/>
</workbook>
</file>

<file path=xl/calcChain.xml><?xml version="1.0" encoding="utf-8"?>
<calcChain xmlns="http://schemas.openxmlformats.org/spreadsheetml/2006/main">
  <c r="AN46" i="3"/>
  <c r="AN47"/>
  <c r="AN48"/>
  <c r="AN49"/>
  <c r="AN50"/>
  <c r="AN51"/>
  <c r="AN52"/>
  <c r="AN53"/>
  <c r="AN54"/>
  <c r="AN55"/>
  <c r="AN56"/>
  <c r="AN57"/>
  <c r="AN58"/>
  <c r="AN59"/>
  <c r="AN60"/>
  <c r="AN61"/>
  <c r="AN62"/>
  <c r="AN63"/>
  <c r="AN64"/>
  <c r="AN45"/>
  <c r="AH47"/>
  <c r="AH48"/>
  <c r="AH49"/>
  <c r="AH50"/>
  <c r="AH51"/>
  <c r="AH52"/>
  <c r="AH53"/>
  <c r="AH54"/>
  <c r="AH55"/>
  <c r="AH56"/>
  <c r="AH57"/>
  <c r="AH58"/>
  <c r="AH59"/>
  <c r="AH60"/>
  <c r="AH61"/>
  <c r="AH62"/>
  <c r="AH63"/>
  <c r="AH64"/>
  <c r="AH46"/>
  <c r="AH45"/>
  <c r="AN23"/>
  <c r="AN22"/>
  <c r="AN21"/>
  <c r="AN20"/>
  <c r="AN19"/>
  <c r="AN18"/>
  <c r="AN17"/>
  <c r="AN16"/>
  <c r="AN15"/>
  <c r="AN14"/>
  <c r="AN13"/>
  <c r="AN12"/>
  <c r="AN11"/>
  <c r="AN10"/>
  <c r="AN9"/>
  <c r="AN8"/>
  <c r="AN7"/>
  <c r="AN6"/>
  <c r="AN5"/>
  <c r="I40" i="10"/>
  <c r="J40"/>
  <c r="K40"/>
  <c r="L40"/>
  <c r="M40"/>
  <c r="N40"/>
  <c r="O40"/>
  <c r="P40"/>
  <c r="Q40"/>
  <c r="R40"/>
  <c r="S40"/>
  <c r="T40"/>
  <c r="U40"/>
  <c r="V40"/>
  <c r="H40"/>
  <c r="G40" s="1"/>
  <c r="F40" s="1"/>
  <c r="E40" s="1"/>
  <c r="D40" s="1"/>
  <c r="C40" s="1"/>
  <c r="AN4" i="3" s="1"/>
  <c r="N36" i="10"/>
  <c r="O36"/>
  <c r="P36"/>
  <c r="Q36"/>
  <c r="R36"/>
  <c r="S36"/>
  <c r="T36"/>
  <c r="M36"/>
  <c r="L36"/>
  <c r="K36"/>
  <c r="J36"/>
  <c r="AN3" i="3"/>
  <c r="AM3"/>
  <c r="AM4"/>
  <c r="AG4"/>
  <c r="AG3"/>
  <c r="AH3"/>
  <c r="AH23"/>
  <c r="AH22"/>
  <c r="AH21"/>
  <c r="AH20"/>
  <c r="AH19"/>
  <c r="AH18"/>
  <c r="AH17"/>
  <c r="AH16"/>
  <c r="AH15"/>
  <c r="AH14"/>
  <c r="AH13"/>
  <c r="AH12"/>
  <c r="AH11"/>
  <c r="AH10"/>
  <c r="AH9"/>
  <c r="AH8"/>
  <c r="AH7"/>
  <c r="AH6"/>
  <c r="AH5"/>
  <c r="AH4"/>
  <c r="AH26"/>
  <c r="AG5"/>
  <c r="AG6" s="1"/>
  <c r="AG7" s="1"/>
  <c r="AG8" s="1"/>
  <c r="AG9" s="1"/>
  <c r="AG10" s="1"/>
  <c r="AG11" s="1"/>
  <c r="AG12" s="1"/>
  <c r="AG13" s="1"/>
  <c r="AG14" s="1"/>
  <c r="AG15" s="1"/>
  <c r="AG16" s="1"/>
  <c r="AG17" s="1"/>
  <c r="AG18" s="1"/>
  <c r="AG19" s="1"/>
  <c r="AG20" s="1"/>
  <c r="AG21" s="1"/>
  <c r="AG22" s="1"/>
  <c r="AG23" s="1"/>
  <c r="AH37"/>
  <c r="AH38" s="1"/>
  <c r="AG24"/>
  <c r="C69" i="10"/>
  <c r="AB28" i="3"/>
  <c r="D3" i="10"/>
  <c r="D9"/>
  <c r="D8"/>
  <c r="D7"/>
  <c r="D6"/>
  <c r="D5"/>
  <c r="D4"/>
  <c r="N29" i="1"/>
  <c r="M29"/>
  <c r="L29"/>
  <c r="K29"/>
  <c r="J29"/>
  <c r="I29"/>
  <c r="H58"/>
  <c r="H71" i="7"/>
  <c r="H72"/>
  <c r="F71"/>
  <c r="E61" i="1"/>
  <c r="E60"/>
  <c r="F61" s="1"/>
  <c r="G61" s="1"/>
  <c r="I2" i="10"/>
  <c r="O9"/>
  <c r="D24" i="6"/>
  <c r="D25"/>
  <c r="D26"/>
  <c r="D27"/>
  <c r="D28"/>
  <c r="D29"/>
  <c r="D30"/>
  <c r="D31"/>
  <c r="D32"/>
  <c r="D23"/>
  <c r="D41" i="3"/>
  <c r="D42" s="1"/>
  <c r="AI3" l="1"/>
  <c r="AI4"/>
  <c r="AJ4" s="1"/>
  <c r="AI5"/>
  <c r="AJ5" s="1"/>
  <c r="AI6"/>
  <c r="AJ6" s="1"/>
  <c r="AI7"/>
  <c r="AJ7" s="1"/>
  <c r="AI8"/>
  <c r="AJ8" s="1"/>
  <c r="AI9"/>
  <c r="AJ9" s="1"/>
  <c r="AI10"/>
  <c r="AJ10" s="1"/>
  <c r="AI11"/>
  <c r="AJ11" s="1"/>
  <c r="AI12"/>
  <c r="AJ12" s="1"/>
  <c r="AI13"/>
  <c r="AJ13" s="1"/>
  <c r="AI14"/>
  <c r="AJ14" s="1"/>
  <c r="AI15"/>
  <c r="AJ15" s="1"/>
  <c r="AI16"/>
  <c r="AJ16" s="1"/>
  <c r="AI17"/>
  <c r="AJ17" s="1"/>
  <c r="AI18"/>
  <c r="AJ18" s="1"/>
  <c r="AI19"/>
  <c r="AJ19" s="1"/>
  <c r="AI20"/>
  <c r="AJ20" s="1"/>
  <c r="AI21"/>
  <c r="AJ21" s="1"/>
  <c r="AI22"/>
  <c r="AJ22" s="1"/>
  <c r="AI23"/>
  <c r="AJ23" s="1"/>
  <c r="AH65"/>
  <c r="AH66" s="1"/>
  <c r="AH24"/>
  <c r="AG26" s="1"/>
  <c r="AH41"/>
  <c r="AH42" s="1"/>
  <c r="B4" i="9"/>
  <c r="AJ3" i="3" l="1"/>
  <c r="AJ24" s="1"/>
  <c r="AG27"/>
  <c r="AI24"/>
  <c r="O86" i="10"/>
  <c r="P86"/>
  <c r="Q86"/>
  <c r="R86"/>
  <c r="S86"/>
  <c r="T86"/>
  <c r="U86"/>
  <c r="D86"/>
  <c r="E86"/>
  <c r="F86"/>
  <c r="G86"/>
  <c r="H86"/>
  <c r="I86"/>
  <c r="J86"/>
  <c r="K86"/>
  <c r="L86"/>
  <c r="M86"/>
  <c r="N86"/>
  <c r="C86"/>
  <c r="B86"/>
  <c r="L41" i="4"/>
  <c r="C41" s="1"/>
  <c r="L32"/>
  <c r="L33"/>
  <c r="C33" s="1"/>
  <c r="F33" s="1"/>
  <c r="E7" i="6" s="1"/>
  <c r="L34" i="4"/>
  <c r="C34" s="1"/>
  <c r="L35"/>
  <c r="C35" s="1"/>
  <c r="L36"/>
  <c r="C36" s="1"/>
  <c r="L37"/>
  <c r="C37" s="1"/>
  <c r="F37" s="1"/>
  <c r="E11" i="6" s="1"/>
  <c r="B29" s="1"/>
  <c r="L38" i="4"/>
  <c r="C38" s="1"/>
  <c r="L39"/>
  <c r="C39" s="1"/>
  <c r="F39" s="1"/>
  <c r="E13" i="6" s="1"/>
  <c r="B31" s="1"/>
  <c r="L40" i="4"/>
  <c r="L31"/>
  <c r="C31" s="1"/>
  <c r="C97" i="10"/>
  <c r="D97"/>
  <c r="E97"/>
  <c r="F97"/>
  <c r="G97"/>
  <c r="H97"/>
  <c r="I97"/>
  <c r="J97"/>
  <c r="K97"/>
  <c r="L97"/>
  <c r="M97"/>
  <c r="N97"/>
  <c r="O97"/>
  <c r="P97"/>
  <c r="Q97"/>
  <c r="R97"/>
  <c r="S97"/>
  <c r="T97"/>
  <c r="U97"/>
  <c r="B97"/>
  <c r="G10"/>
  <c r="E3"/>
  <c r="U80"/>
  <c r="U82" s="1"/>
  <c r="U83" s="1"/>
  <c r="U84" s="1"/>
  <c r="U95" s="1"/>
  <c r="T80"/>
  <c r="T82" s="1"/>
  <c r="T83" s="1"/>
  <c r="T84" s="1"/>
  <c r="T95" s="1"/>
  <c r="S80"/>
  <c r="S82" s="1"/>
  <c r="S83" s="1"/>
  <c r="S84" s="1"/>
  <c r="S95" s="1"/>
  <c r="R80"/>
  <c r="R82" s="1"/>
  <c r="R83" s="1"/>
  <c r="R84" s="1"/>
  <c r="R95" s="1"/>
  <c r="Q80"/>
  <c r="Q82" s="1"/>
  <c r="Q83" s="1"/>
  <c r="Q84" s="1"/>
  <c r="Q95" s="1"/>
  <c r="P80"/>
  <c r="P82" s="1"/>
  <c r="P83" s="1"/>
  <c r="P84" s="1"/>
  <c r="P95" s="1"/>
  <c r="O80"/>
  <c r="O82" s="1"/>
  <c r="O83" s="1"/>
  <c r="O84" s="1"/>
  <c r="O95" s="1"/>
  <c r="N80"/>
  <c r="N82" s="1"/>
  <c r="N83" s="1"/>
  <c r="N84" s="1"/>
  <c r="N95" s="1"/>
  <c r="M80"/>
  <c r="M82" s="1"/>
  <c r="M83" s="1"/>
  <c r="M84" s="1"/>
  <c r="M95" s="1"/>
  <c r="L80"/>
  <c r="L82" s="1"/>
  <c r="L83" s="1"/>
  <c r="L84" s="1"/>
  <c r="L95" s="1"/>
  <c r="K80"/>
  <c r="K82" s="1"/>
  <c r="K83" s="1"/>
  <c r="K84" s="1"/>
  <c r="K95" s="1"/>
  <c r="J80"/>
  <c r="J82" s="1"/>
  <c r="J83" s="1"/>
  <c r="J84" s="1"/>
  <c r="J95" s="1"/>
  <c r="I80"/>
  <c r="I82" s="1"/>
  <c r="I83" s="1"/>
  <c r="I84" s="1"/>
  <c r="I95" s="1"/>
  <c r="H80"/>
  <c r="H82" s="1"/>
  <c r="H83" s="1"/>
  <c r="H84" s="1"/>
  <c r="H95" s="1"/>
  <c r="G80"/>
  <c r="G82" s="1"/>
  <c r="G83" s="1"/>
  <c r="G84" s="1"/>
  <c r="G95" s="1"/>
  <c r="F80"/>
  <c r="F82" s="1"/>
  <c r="F83" s="1"/>
  <c r="F84" s="1"/>
  <c r="F95" s="1"/>
  <c r="E80"/>
  <c r="E82" s="1"/>
  <c r="E83" s="1"/>
  <c r="E84" s="1"/>
  <c r="E95" s="1"/>
  <c r="D80"/>
  <c r="D82" s="1"/>
  <c r="D83" s="1"/>
  <c r="D84" s="1"/>
  <c r="D95" s="1"/>
  <c r="C80"/>
  <c r="C82" s="1"/>
  <c r="C83" s="1"/>
  <c r="C84" s="1"/>
  <c r="C95" s="1"/>
  <c r="B80"/>
  <c r="B82" s="1"/>
  <c r="B83" s="1"/>
  <c r="B84" s="1"/>
  <c r="B51" i="9"/>
  <c r="B41"/>
  <c r="B39" s="1"/>
  <c r="B28"/>
  <c r="B26"/>
  <c r="B21"/>
  <c r="B10"/>
  <c r="B9"/>
  <c r="B5"/>
  <c r="K78" i="7"/>
  <c r="J102"/>
  <c r="K102" s="1"/>
  <c r="H5" i="5"/>
  <c r="R5"/>
  <c r="R6" s="1"/>
  <c r="R7" s="1"/>
  <c r="R8" s="1"/>
  <c r="R9" s="1"/>
  <c r="R10" s="1"/>
  <c r="R11" s="1"/>
  <c r="R12" s="1"/>
  <c r="R13" s="1"/>
  <c r="R14" s="1"/>
  <c r="R15" s="1"/>
  <c r="R16" s="1"/>
  <c r="R17" s="1"/>
  <c r="R18" s="1"/>
  <c r="R19" s="1"/>
  <c r="R20" s="1"/>
  <c r="R21" s="1"/>
  <c r="R22" s="1"/>
  <c r="R23" s="1"/>
  <c r="R24" s="1"/>
  <c r="R25" s="1"/>
  <c r="R26" s="1"/>
  <c r="R27" s="1"/>
  <c r="R28" s="1"/>
  <c r="R29" s="1"/>
  <c r="R30" s="1"/>
  <c r="R31" s="1"/>
  <c r="R32" s="1"/>
  <c r="R33" s="1"/>
  <c r="R34" s="1"/>
  <c r="H43"/>
  <c r="D5" s="1"/>
  <c r="L101" i="1"/>
  <c r="L104" s="1"/>
  <c r="K101"/>
  <c r="J101"/>
  <c r="J103" s="1"/>
  <c r="E32" s="1"/>
  <c r="H13" s="1"/>
  <c r="H14" s="1"/>
  <c r="I101"/>
  <c r="H101"/>
  <c r="G101"/>
  <c r="F101"/>
  <c r="E101"/>
  <c r="B101"/>
  <c r="L100"/>
  <c r="K100"/>
  <c r="J100"/>
  <c r="I100"/>
  <c r="H100"/>
  <c r="G100"/>
  <c r="F100"/>
  <c r="E100"/>
  <c r="B100"/>
  <c r="L99"/>
  <c r="K99"/>
  <c r="J99"/>
  <c r="I99"/>
  <c r="H99"/>
  <c r="G99"/>
  <c r="F99"/>
  <c r="E99"/>
  <c r="B99"/>
  <c r="L98"/>
  <c r="K98"/>
  <c r="J98"/>
  <c r="I98"/>
  <c r="H98"/>
  <c r="G98"/>
  <c r="F98"/>
  <c r="E98"/>
  <c r="B98"/>
  <c r="L97"/>
  <c r="K97"/>
  <c r="J97"/>
  <c r="I97"/>
  <c r="H97"/>
  <c r="G97"/>
  <c r="F97"/>
  <c r="E97"/>
  <c r="B97"/>
  <c r="L96"/>
  <c r="K96"/>
  <c r="J96"/>
  <c r="I96"/>
  <c r="H96"/>
  <c r="G96"/>
  <c r="F96"/>
  <c r="E96"/>
  <c r="B96"/>
  <c r="L95"/>
  <c r="K95"/>
  <c r="J95"/>
  <c r="I95"/>
  <c r="H95"/>
  <c r="G95"/>
  <c r="F95"/>
  <c r="E95"/>
  <c r="B95"/>
  <c r="L94"/>
  <c r="K94"/>
  <c r="J94"/>
  <c r="I94"/>
  <c r="H94"/>
  <c r="G94"/>
  <c r="F94"/>
  <c r="E94"/>
  <c r="B94"/>
  <c r="L93"/>
  <c r="K93"/>
  <c r="J93"/>
  <c r="I93"/>
  <c r="H93"/>
  <c r="G93"/>
  <c r="F93"/>
  <c r="E93"/>
  <c r="B93"/>
  <c r="L92"/>
  <c r="K92"/>
  <c r="J92"/>
  <c r="I92"/>
  <c r="H92"/>
  <c r="G92"/>
  <c r="F92"/>
  <c r="E92"/>
  <c r="B92"/>
  <c r="L91"/>
  <c r="K91"/>
  <c r="E105" s="1"/>
  <c r="G105" s="1"/>
  <c r="J91"/>
  <c r="I91"/>
  <c r="H91"/>
  <c r="G91"/>
  <c r="F91"/>
  <c r="E91"/>
  <c r="B91"/>
  <c r="L90"/>
  <c r="K90"/>
  <c r="J90"/>
  <c r="I90"/>
  <c r="H90"/>
  <c r="G90"/>
  <c r="F90"/>
  <c r="E90"/>
  <c r="B90"/>
  <c r="L89"/>
  <c r="K89"/>
  <c r="J89"/>
  <c r="I89"/>
  <c r="H89"/>
  <c r="G89"/>
  <c r="F89"/>
  <c r="E89"/>
  <c r="B89"/>
  <c r="H71"/>
  <c r="J83"/>
  <c r="L10"/>
  <c r="F54" i="7"/>
  <c r="F44"/>
  <c r="G4" i="5"/>
  <c r="J4" s="1"/>
  <c r="K4" s="1"/>
  <c r="E79" i="1"/>
  <c r="J4" i="3"/>
  <c r="I3"/>
  <c r="D5"/>
  <c r="D6" s="1"/>
  <c r="D7" s="1"/>
  <c r="D8" s="1"/>
  <c r="I102" i="7"/>
  <c r="B106" i="8"/>
  <c r="B107" s="1"/>
  <c r="F85" s="1"/>
  <c r="E28" i="1"/>
  <c r="C13"/>
  <c r="F61" i="7"/>
  <c r="D44" i="1" s="1"/>
  <c r="D65"/>
  <c r="D50"/>
  <c r="H76" i="7"/>
  <c r="D47" i="1" s="1"/>
  <c r="H77" i="7"/>
  <c r="D51" i="1" s="1"/>
  <c r="D35" s="1"/>
  <c r="F37" i="7"/>
  <c r="F75"/>
  <c r="D55" i="1" s="1"/>
  <c r="F74" i="7"/>
  <c r="F69"/>
  <c r="D48" i="1" s="1"/>
  <c r="F70" i="7"/>
  <c r="D52" i="1" s="1"/>
  <c r="D46"/>
  <c r="D42"/>
  <c r="L69" s="1"/>
  <c r="I105" i="7"/>
  <c r="F16"/>
  <c r="I103" s="1"/>
  <c r="I34"/>
  <c r="I35"/>
  <c r="I36"/>
  <c r="I37"/>
  <c r="I40"/>
  <c r="I41"/>
  <c r="I42"/>
  <c r="I43"/>
  <c r="I44"/>
  <c r="I46"/>
  <c r="I47"/>
  <c r="I48"/>
  <c r="I49"/>
  <c r="I50"/>
  <c r="I51"/>
  <c r="I54"/>
  <c r="I55"/>
  <c r="I56"/>
  <c r="I57"/>
  <c r="I58"/>
  <c r="I59"/>
  <c r="I60"/>
  <c r="I61"/>
  <c r="I62"/>
  <c r="I63"/>
  <c r="I64"/>
  <c r="I65"/>
  <c r="I66"/>
  <c r="I67"/>
  <c r="I68"/>
  <c r="I69"/>
  <c r="I70"/>
  <c r="I71"/>
  <c r="I72"/>
  <c r="I73"/>
  <c r="I74"/>
  <c r="I75"/>
  <c r="I76"/>
  <c r="I77"/>
  <c r="I78"/>
  <c r="I79"/>
  <c r="I80"/>
  <c r="I81"/>
  <c r="I82"/>
  <c r="I83"/>
  <c r="I87"/>
  <c r="I88"/>
  <c r="I89"/>
  <c r="I90"/>
  <c r="I91"/>
  <c r="I92"/>
  <c r="I93"/>
  <c r="I94"/>
  <c r="I95"/>
  <c r="I96"/>
  <c r="I97"/>
  <c r="I98"/>
  <c r="I99"/>
  <c r="I100"/>
  <c r="I101"/>
  <c r="I108"/>
  <c r="I109"/>
  <c r="I110"/>
  <c r="I111"/>
  <c r="I112"/>
  <c r="I113"/>
  <c r="I114"/>
  <c r="I115"/>
  <c r="I116"/>
  <c r="I117"/>
  <c r="I118"/>
  <c r="I119"/>
  <c r="I120"/>
  <c r="I121"/>
  <c r="I122"/>
  <c r="I33"/>
  <c r="J61"/>
  <c r="D120"/>
  <c r="B119"/>
  <c r="J83"/>
  <c r="J82"/>
  <c r="J81"/>
  <c r="J80"/>
  <c r="J79"/>
  <c r="J78"/>
  <c r="J77"/>
  <c r="J76"/>
  <c r="J75"/>
  <c r="J74"/>
  <c r="J72"/>
  <c r="J71"/>
  <c r="J70"/>
  <c r="J69"/>
  <c r="J62"/>
  <c r="J60"/>
  <c r="J59"/>
  <c r="J58"/>
  <c r="J57"/>
  <c r="J56"/>
  <c r="J55"/>
  <c r="J54"/>
  <c r="J51"/>
  <c r="J50"/>
  <c r="J49"/>
  <c r="J48"/>
  <c r="J47"/>
  <c r="J46"/>
  <c r="J44"/>
  <c r="J43"/>
  <c r="J42"/>
  <c r="J41"/>
  <c r="J40"/>
  <c r="J37"/>
  <c r="J36"/>
  <c r="J35"/>
  <c r="J34"/>
  <c r="J33"/>
  <c r="D24"/>
  <c r="C22"/>
  <c r="D21"/>
  <c r="A66" s="1"/>
  <c r="D20"/>
  <c r="A65" s="1"/>
  <c r="C19"/>
  <c r="C18"/>
  <c r="C17"/>
  <c r="C16"/>
  <c r="C15"/>
  <c r="C13"/>
  <c r="D14" s="1"/>
  <c r="C12"/>
  <c r="J70" i="1"/>
  <c r="D75"/>
  <c r="D74"/>
  <c r="D66"/>
  <c r="A6" i="6"/>
  <c r="A24" s="1"/>
  <c r="A7"/>
  <c r="A25" s="1"/>
  <c r="A8"/>
  <c r="A26" s="1"/>
  <c r="A9"/>
  <c r="A27" s="1"/>
  <c r="A10"/>
  <c r="A28" s="1"/>
  <c r="A11"/>
  <c r="A29" s="1"/>
  <c r="A12"/>
  <c r="A30" s="1"/>
  <c r="A13"/>
  <c r="A31" s="1"/>
  <c r="A14"/>
  <c r="A32" s="1"/>
  <c r="A15"/>
  <c r="A5"/>
  <c r="A23" s="1"/>
  <c r="D5"/>
  <c r="D6"/>
  <c r="D7"/>
  <c r="D8"/>
  <c r="D9"/>
  <c r="D10"/>
  <c r="D11"/>
  <c r="D12"/>
  <c r="D13"/>
  <c r="D14"/>
  <c r="D15"/>
  <c r="D4"/>
  <c r="C4"/>
  <c r="B6"/>
  <c r="B7"/>
  <c r="B8"/>
  <c r="B9"/>
  <c r="B10"/>
  <c r="B11"/>
  <c r="B12"/>
  <c r="B13"/>
  <c r="B14"/>
  <c r="B15"/>
  <c r="B5"/>
  <c r="B4"/>
  <c r="C39"/>
  <c r="C32" i="4"/>
  <c r="F32" s="1"/>
  <c r="E6" i="6" s="1"/>
  <c r="C40" i="4"/>
  <c r="C9"/>
  <c r="B2" i="6" s="1"/>
  <c r="A5" i="5"/>
  <c r="A40" i="6" s="1"/>
  <c r="A6" i="5"/>
  <c r="A41" i="6" s="1"/>
  <c r="A7" i="5"/>
  <c r="A42" i="6" s="1"/>
  <c r="A8" i="5"/>
  <c r="A43" i="6" s="1"/>
  <c r="A9" i="5"/>
  <c r="A44" i="6" s="1"/>
  <c r="A10" i="5"/>
  <c r="A45" i="6" s="1"/>
  <c r="A11" i="5"/>
  <c r="A46" i="6" s="1"/>
  <c r="A12" i="5"/>
  <c r="A47" i="6" s="1"/>
  <c r="A13" i="5"/>
  <c r="A48" i="6" s="1"/>
  <c r="A14" i="5"/>
  <c r="A49" i="6" s="1"/>
  <c r="A15" i="5"/>
  <c r="A50" i="6" s="1"/>
  <c r="A16" i="5"/>
  <c r="A51" i="6" s="1"/>
  <c r="A17" i="5"/>
  <c r="A52" i="6" s="1"/>
  <c r="A18" i="5"/>
  <c r="A53" i="6" s="1"/>
  <c r="A19" i="5"/>
  <c r="A54" i="6" s="1"/>
  <c r="A20" i="5"/>
  <c r="A55" i="6" s="1"/>
  <c r="A21" i="5"/>
  <c r="A56" i="6" s="1"/>
  <c r="A22" i="5"/>
  <c r="A57" i="6" s="1"/>
  <c r="A23" i="5"/>
  <c r="A58" i="6" s="1"/>
  <c r="A24" i="5"/>
  <c r="A59" i="6" s="1"/>
  <c r="A4" i="5"/>
  <c r="A39" i="6" s="1"/>
  <c r="I69" i="8"/>
  <c r="I70"/>
  <c r="I71"/>
  <c r="I72"/>
  <c r="I74"/>
  <c r="I75"/>
  <c r="I76"/>
  <c r="I77"/>
  <c r="I78"/>
  <c r="I79"/>
  <c r="I80"/>
  <c r="I81"/>
  <c r="I82"/>
  <c r="I83"/>
  <c r="I62"/>
  <c r="I40"/>
  <c r="I41"/>
  <c r="I42"/>
  <c r="I43"/>
  <c r="I44"/>
  <c r="I46"/>
  <c r="I47"/>
  <c r="I48"/>
  <c r="I49"/>
  <c r="I50"/>
  <c r="I51"/>
  <c r="I54"/>
  <c r="I55"/>
  <c r="I56"/>
  <c r="I57"/>
  <c r="I58"/>
  <c r="I59"/>
  <c r="I60"/>
  <c r="I61"/>
  <c r="I34"/>
  <c r="I35"/>
  <c r="I36"/>
  <c r="I37"/>
  <c r="I33"/>
  <c r="D120"/>
  <c r="B119"/>
  <c r="F80"/>
  <c r="F81"/>
  <c r="F76"/>
  <c r="F78"/>
  <c r="F75"/>
  <c r="F71"/>
  <c r="F37"/>
  <c r="D24"/>
  <c r="C22"/>
  <c r="D21"/>
  <c r="A66" s="1"/>
  <c r="D20"/>
  <c r="A65" s="1"/>
  <c r="C19"/>
  <c r="C18"/>
  <c r="C17"/>
  <c r="C16"/>
  <c r="C15"/>
  <c r="C13"/>
  <c r="D14" s="1"/>
  <c r="C12"/>
  <c r="D39" i="6"/>
  <c r="A65"/>
  <c r="A64"/>
  <c r="A63"/>
  <c r="A62"/>
  <c r="A61"/>
  <c r="F38"/>
  <c r="D38"/>
  <c r="C38"/>
  <c r="B38"/>
  <c r="A38"/>
  <c r="H45" i="5"/>
  <c r="A3"/>
  <c r="C4" i="3"/>
  <c r="C24" i="4"/>
  <c r="C25"/>
  <c r="C26"/>
  <c r="C23"/>
  <c r="C49"/>
  <c r="F24" s="1"/>
  <c r="F15"/>
  <c r="F7"/>
  <c r="F9"/>
  <c r="F17"/>
  <c r="C5" i="3"/>
  <c r="U3"/>
  <c r="F6" i="4"/>
  <c r="F8"/>
  <c r="F10"/>
  <c r="F12"/>
  <c r="F14"/>
  <c r="F16"/>
  <c r="F18"/>
  <c r="F23"/>
  <c r="F19"/>
  <c r="F20"/>
  <c r="F21"/>
  <c r="F22"/>
  <c r="AA3" i="3"/>
  <c r="F61" i="8"/>
  <c r="F88"/>
  <c r="L68" i="1"/>
  <c r="AS3" i="3" l="1"/>
  <c r="J5"/>
  <c r="J41"/>
  <c r="J42" s="1"/>
  <c r="F48" i="1"/>
  <c r="F52"/>
  <c r="G6" i="6"/>
  <c r="C24" s="1"/>
  <c r="B24"/>
  <c r="G7"/>
  <c r="C25" s="1"/>
  <c r="B25"/>
  <c r="C85" i="10"/>
  <c r="C96" s="1"/>
  <c r="T85"/>
  <c r="T96" s="1"/>
  <c r="R85"/>
  <c r="R96" s="1"/>
  <c r="P85"/>
  <c r="P96" s="1"/>
  <c r="N85"/>
  <c r="N96" s="1"/>
  <c r="L85"/>
  <c r="L96" s="1"/>
  <c r="J85"/>
  <c r="J96" s="1"/>
  <c r="H85"/>
  <c r="H96" s="1"/>
  <c r="F85"/>
  <c r="F96" s="1"/>
  <c r="D85"/>
  <c r="D96" s="1"/>
  <c r="B94"/>
  <c r="U94"/>
  <c r="S94"/>
  <c r="Q94"/>
  <c r="O94"/>
  <c r="M94"/>
  <c r="K94"/>
  <c r="I94"/>
  <c r="G94"/>
  <c r="E94"/>
  <c r="C94"/>
  <c r="T93"/>
  <c r="R93"/>
  <c r="P93"/>
  <c r="N93"/>
  <c r="L93"/>
  <c r="J93"/>
  <c r="H93"/>
  <c r="F93"/>
  <c r="D93"/>
  <c r="T91"/>
  <c r="R91"/>
  <c r="P91"/>
  <c r="N91"/>
  <c r="L91"/>
  <c r="J91"/>
  <c r="H91"/>
  <c r="F91"/>
  <c r="D91"/>
  <c r="U85"/>
  <c r="U96" s="1"/>
  <c r="S85"/>
  <c r="S96" s="1"/>
  <c r="Q85"/>
  <c r="Q96" s="1"/>
  <c r="O85"/>
  <c r="O96" s="1"/>
  <c r="M85"/>
  <c r="M96" s="1"/>
  <c r="K85"/>
  <c r="K96" s="1"/>
  <c r="I85"/>
  <c r="I96" s="1"/>
  <c r="G85"/>
  <c r="G96" s="1"/>
  <c r="E85"/>
  <c r="E96" s="1"/>
  <c r="B91"/>
  <c r="B93"/>
  <c r="T94"/>
  <c r="R94"/>
  <c r="P94"/>
  <c r="N94"/>
  <c r="L94"/>
  <c r="J94"/>
  <c r="H94"/>
  <c r="F94"/>
  <c r="D94"/>
  <c r="U93"/>
  <c r="S93"/>
  <c r="Q93"/>
  <c r="O93"/>
  <c r="M93"/>
  <c r="K93"/>
  <c r="I93"/>
  <c r="G93"/>
  <c r="E93"/>
  <c r="C93"/>
  <c r="U91"/>
  <c r="S91"/>
  <c r="Q91"/>
  <c r="O91"/>
  <c r="M91"/>
  <c r="K91"/>
  <c r="I91"/>
  <c r="G91"/>
  <c r="E91"/>
  <c r="C91"/>
  <c r="D45" i="1"/>
  <c r="D37" s="1"/>
  <c r="F41"/>
  <c r="F103" i="7"/>
  <c r="F105" s="1"/>
  <c r="H6" i="5"/>
  <c r="H7" s="1"/>
  <c r="H8" s="1"/>
  <c r="H9" s="1"/>
  <c r="H10" s="1"/>
  <c r="H11" s="1"/>
  <c r="H12" s="1"/>
  <c r="H13" s="1"/>
  <c r="H14" s="1"/>
  <c r="H15" s="1"/>
  <c r="H16" s="1"/>
  <c r="H17" s="1"/>
  <c r="H18" s="1"/>
  <c r="H19" s="1"/>
  <c r="H20" s="1"/>
  <c r="H21" s="1"/>
  <c r="H22" s="1"/>
  <c r="H23" s="1"/>
  <c r="H24" s="1"/>
  <c r="H25" s="1"/>
  <c r="H26" s="1"/>
  <c r="H27" s="1"/>
  <c r="H28" s="1"/>
  <c r="H29" s="1"/>
  <c r="H30" s="1"/>
  <c r="H31" s="1"/>
  <c r="H32" s="1"/>
  <c r="H33" s="1"/>
  <c r="H34" s="1"/>
  <c r="F35" i="4"/>
  <c r="E9" i="6" s="1"/>
  <c r="B27" s="1"/>
  <c r="C9"/>
  <c r="F41" i="4"/>
  <c r="E15" i="6" s="1"/>
  <c r="F15" s="1"/>
  <c r="I15" s="1"/>
  <c r="C15"/>
  <c r="G11"/>
  <c r="C29" s="1"/>
  <c r="F11"/>
  <c r="I11" s="1"/>
  <c r="C11"/>
  <c r="C7"/>
  <c r="L70" i="1"/>
  <c r="F7" i="6"/>
  <c r="I7" s="1"/>
  <c r="H51" i="5"/>
  <c r="B81" i="10"/>
  <c r="B92" s="1"/>
  <c r="D81"/>
  <c r="D92" s="1"/>
  <c r="F81"/>
  <c r="F92" s="1"/>
  <c r="H81"/>
  <c r="H92" s="1"/>
  <c r="J81"/>
  <c r="J92" s="1"/>
  <c r="L81"/>
  <c r="L92" s="1"/>
  <c r="N81"/>
  <c r="N92" s="1"/>
  <c r="P81"/>
  <c r="P92" s="1"/>
  <c r="R81"/>
  <c r="R92" s="1"/>
  <c r="T81"/>
  <c r="T92" s="1"/>
  <c r="C81"/>
  <c r="C92" s="1"/>
  <c r="E81"/>
  <c r="E92" s="1"/>
  <c r="G81"/>
  <c r="G92" s="1"/>
  <c r="I81"/>
  <c r="I92" s="1"/>
  <c r="K81"/>
  <c r="K92" s="1"/>
  <c r="M81"/>
  <c r="M92" s="1"/>
  <c r="O81"/>
  <c r="O92" s="1"/>
  <c r="Q81"/>
  <c r="Q92" s="1"/>
  <c r="S81"/>
  <c r="S92" s="1"/>
  <c r="U81"/>
  <c r="U92" s="1"/>
  <c r="B19" i="9"/>
  <c r="F13" i="4"/>
  <c r="F5"/>
  <c r="F11"/>
  <c r="D67" i="1"/>
  <c r="D69" s="1"/>
  <c r="A25" i="5"/>
  <c r="A26" s="1"/>
  <c r="A27" s="1"/>
  <c r="A28" s="1"/>
  <c r="A29" s="1"/>
  <c r="A30" s="1"/>
  <c r="A31" s="1"/>
  <c r="A32" s="1"/>
  <c r="A33" s="1"/>
  <c r="A34" s="1"/>
  <c r="D54" i="1"/>
  <c r="F55" s="1"/>
  <c r="F88" i="7"/>
  <c r="F13" i="6"/>
  <c r="I13" s="1"/>
  <c r="G13"/>
  <c r="C31" s="1"/>
  <c r="F38" i="4"/>
  <c r="E12" i="6" s="1"/>
  <c r="B30" s="1"/>
  <c r="C12"/>
  <c r="C10"/>
  <c r="F36" i="4"/>
  <c r="C8" i="6"/>
  <c r="F34" i="4"/>
  <c r="E8" i="6" s="1"/>
  <c r="B26" s="1"/>
  <c r="D34" i="1"/>
  <c r="D9" i="3"/>
  <c r="C40" i="6"/>
  <c r="D6" i="5"/>
  <c r="D76" i="1"/>
  <c r="D77" s="1"/>
  <c r="F31" i="4"/>
  <c r="C44"/>
  <c r="C47" s="1"/>
  <c r="C50" s="1"/>
  <c r="D33" i="1"/>
  <c r="E80"/>
  <c r="E81"/>
  <c r="B6" i="5"/>
  <c r="C6" s="1"/>
  <c r="E5" i="3"/>
  <c r="C6"/>
  <c r="E6" s="1"/>
  <c r="B5" i="5"/>
  <c r="C5" s="1"/>
  <c r="O4" i="3"/>
  <c r="I4"/>
  <c r="E4"/>
  <c r="F40" i="4"/>
  <c r="E14" i="6" s="1"/>
  <c r="B32" s="1"/>
  <c r="C14"/>
  <c r="D43" i="1"/>
  <c r="D36"/>
  <c r="J6" i="3"/>
  <c r="F6" i="6"/>
  <c r="I6" s="1"/>
  <c r="C6"/>
  <c r="C13"/>
  <c r="C5"/>
  <c r="F57" i="1" l="1"/>
  <c r="G4" i="10"/>
  <c r="G5"/>
  <c r="G6"/>
  <c r="G3"/>
  <c r="G15" i="6"/>
  <c r="D59" i="1"/>
  <c r="G9" i="6"/>
  <c r="C27" s="1"/>
  <c r="F9"/>
  <c r="I9" s="1"/>
  <c r="C24" i="1"/>
  <c r="C25" s="1"/>
  <c r="L15" s="1"/>
  <c r="B88" i="10"/>
  <c r="J7" i="3"/>
  <c r="F14" i="6"/>
  <c r="I14" s="1"/>
  <c r="G14"/>
  <c r="C32" s="1"/>
  <c r="H15" i="1"/>
  <c r="H16" s="1"/>
  <c r="H17" s="1"/>
  <c r="I15"/>
  <c r="F12" i="6"/>
  <c r="I12" s="1"/>
  <c r="G12"/>
  <c r="C30" s="1"/>
  <c r="U4" i="3"/>
  <c r="AA4" s="1"/>
  <c r="O5"/>
  <c r="O6" s="1"/>
  <c r="O7" s="1"/>
  <c r="O8" s="1"/>
  <c r="O9" s="1"/>
  <c r="O10" s="1"/>
  <c r="O11" s="1"/>
  <c r="O12" s="1"/>
  <c r="O13" s="1"/>
  <c r="O14" s="1"/>
  <c r="O15" s="1"/>
  <c r="O16" s="1"/>
  <c r="O17" s="1"/>
  <c r="O18" s="1"/>
  <c r="O19" s="1"/>
  <c r="O20" s="1"/>
  <c r="O21" s="1"/>
  <c r="O22" s="1"/>
  <c r="O23" s="1"/>
  <c r="B7" i="5"/>
  <c r="C7" s="1"/>
  <c r="C7" i="3"/>
  <c r="E6" i="5"/>
  <c r="B41" i="6"/>
  <c r="C45" i="4"/>
  <c r="C48" s="1"/>
  <c r="C52"/>
  <c r="E5" i="6"/>
  <c r="B23" s="1"/>
  <c r="G8"/>
  <c r="C26" s="1"/>
  <c r="F8"/>
  <c r="I8" s="1"/>
  <c r="C53" i="4"/>
  <c r="E10" i="6"/>
  <c r="B28" s="1"/>
  <c r="D57" i="1"/>
  <c r="L11" s="1"/>
  <c r="I5" i="3"/>
  <c r="K4"/>
  <c r="E5" i="5"/>
  <c r="B40" i="6"/>
  <c r="E83" i="1"/>
  <c r="F69"/>
  <c r="D7" i="5"/>
  <c r="C41" i="6"/>
  <c r="D10" i="3"/>
  <c r="AM5" l="1"/>
  <c r="AM6" s="1"/>
  <c r="AM7" s="1"/>
  <c r="AM8" s="1"/>
  <c r="AM9" s="1"/>
  <c r="AM10" s="1"/>
  <c r="AM11" s="1"/>
  <c r="AM12" s="1"/>
  <c r="AM13" s="1"/>
  <c r="AM14" s="1"/>
  <c r="AM15" s="1"/>
  <c r="AM16" s="1"/>
  <c r="AM17" s="1"/>
  <c r="AM18" s="1"/>
  <c r="AM19" s="1"/>
  <c r="AM20" s="1"/>
  <c r="AM21" s="1"/>
  <c r="AM22" s="1"/>
  <c r="AM23" s="1"/>
  <c r="AM24" s="1"/>
  <c r="B95" i="10"/>
  <c r="G7" s="1"/>
  <c r="B85"/>
  <c r="B96" s="1"/>
  <c r="G8" s="1"/>
  <c r="J15" i="1"/>
  <c r="AA5" i="3"/>
  <c r="AA6" s="1"/>
  <c r="AA7" s="1"/>
  <c r="AA8" s="1"/>
  <c r="AA9" s="1"/>
  <c r="AA10" s="1"/>
  <c r="AA11" s="1"/>
  <c r="AA12" s="1"/>
  <c r="AA13" s="1"/>
  <c r="AA14" s="1"/>
  <c r="AA15" s="1"/>
  <c r="AA16" s="1"/>
  <c r="AA17" s="1"/>
  <c r="AA18" s="1"/>
  <c r="AA19" s="1"/>
  <c r="AA20" s="1"/>
  <c r="AA21" s="1"/>
  <c r="AA22" s="1"/>
  <c r="AA23" s="1"/>
  <c r="K15" i="1"/>
  <c r="D27"/>
  <c r="C88" i="10"/>
  <c r="D88" s="1"/>
  <c r="E88" s="1"/>
  <c r="F88" s="1"/>
  <c r="G88" s="1"/>
  <c r="H88" s="1"/>
  <c r="I88" s="1"/>
  <c r="J88" s="1"/>
  <c r="K88" s="1"/>
  <c r="L88" s="1"/>
  <c r="M88" s="1"/>
  <c r="N88" s="1"/>
  <c r="O88" s="1"/>
  <c r="P88" s="1"/>
  <c r="Q88" s="1"/>
  <c r="R88" s="1"/>
  <c r="S88" s="1"/>
  <c r="T88" s="1"/>
  <c r="U88" s="1"/>
  <c r="O24" i="3"/>
  <c r="F5" i="5"/>
  <c r="D11" i="3"/>
  <c r="H69" i="1"/>
  <c r="E59" s="1"/>
  <c r="B9" i="3"/>
  <c r="B17"/>
  <c r="B3"/>
  <c r="B10"/>
  <c r="B4"/>
  <c r="B12"/>
  <c r="B20"/>
  <c r="B22"/>
  <c r="B11"/>
  <c r="B23"/>
  <c r="B5"/>
  <c r="B21"/>
  <c r="B18"/>
  <c r="B16"/>
  <c r="B7"/>
  <c r="B6"/>
  <c r="B13"/>
  <c r="B19"/>
  <c r="B8"/>
  <c r="B14"/>
  <c r="B15"/>
  <c r="F70" i="1"/>
  <c r="G10" i="6"/>
  <c r="C28" s="1"/>
  <c r="F10"/>
  <c r="I10" s="1"/>
  <c r="G5"/>
  <c r="E16"/>
  <c r="F5"/>
  <c r="D3" i="3"/>
  <c r="D37" s="1"/>
  <c r="D38" s="1"/>
  <c r="F4" i="4"/>
  <c r="C51"/>
  <c r="D41" i="6"/>
  <c r="F41" s="1"/>
  <c r="I6" i="5"/>
  <c r="J6" s="1"/>
  <c r="E7"/>
  <c r="B42" i="6"/>
  <c r="U5" i="3"/>
  <c r="U6" s="1"/>
  <c r="U7" s="1"/>
  <c r="U8" s="1"/>
  <c r="U9" s="1"/>
  <c r="U10" s="1"/>
  <c r="U11" s="1"/>
  <c r="U12" s="1"/>
  <c r="U13" s="1"/>
  <c r="U14" s="1"/>
  <c r="U15" s="1"/>
  <c r="U16" s="1"/>
  <c r="U17" s="1"/>
  <c r="U18" s="1"/>
  <c r="U19" s="1"/>
  <c r="U20" s="1"/>
  <c r="U21" s="1"/>
  <c r="U22" s="1"/>
  <c r="U23" s="1"/>
  <c r="C42" i="6"/>
  <c r="D8" i="5"/>
  <c r="I5"/>
  <c r="D40" i="6"/>
  <c r="I6" i="3"/>
  <c r="K5"/>
  <c r="B8" i="5"/>
  <c r="C8" s="1"/>
  <c r="C8" i="3"/>
  <c r="E7"/>
  <c r="J25" i="1"/>
  <c r="J8" i="3"/>
  <c r="C54" i="4"/>
  <c r="F6" i="5"/>
  <c r="AA24" i="3" l="1"/>
  <c r="L25" i="1" s="1"/>
  <c r="G16" i="6"/>
  <c r="C23"/>
  <c r="AS4" i="3"/>
  <c r="F7" i="5"/>
  <c r="B9"/>
  <c r="C9" s="1"/>
  <c r="C9" i="3"/>
  <c r="E8"/>
  <c r="F40" i="6"/>
  <c r="D9" i="5"/>
  <c r="C43" i="6"/>
  <c r="E3" i="3"/>
  <c r="B4" i="5"/>
  <c r="B39" i="6" s="1"/>
  <c r="H70" i="1"/>
  <c r="J71"/>
  <c r="E38"/>
  <c r="E45"/>
  <c r="E52"/>
  <c r="L71"/>
  <c r="E37"/>
  <c r="E48"/>
  <c r="E46"/>
  <c r="E51"/>
  <c r="E35"/>
  <c r="E47"/>
  <c r="E42"/>
  <c r="E50"/>
  <c r="E44"/>
  <c r="I105"/>
  <c r="E55"/>
  <c r="E36"/>
  <c r="E34"/>
  <c r="E33"/>
  <c r="E43"/>
  <c r="E54"/>
  <c r="D12" i="3"/>
  <c r="J9"/>
  <c r="B43" i="6"/>
  <c r="E8" i="5"/>
  <c r="I7" i="3"/>
  <c r="K6"/>
  <c r="J5" i="5"/>
  <c r="I7"/>
  <c r="J7" s="1"/>
  <c r="D42" i="6"/>
  <c r="F42" s="1"/>
  <c r="F26" i="4"/>
  <c r="F27"/>
  <c r="F28"/>
  <c r="G4" s="1"/>
  <c r="F16" i="6"/>
  <c r="I5"/>
  <c r="I16" s="1"/>
  <c r="U24" i="3"/>
  <c r="D33" i="6" l="1"/>
  <c r="D2" i="10"/>
  <c r="F2" s="1"/>
  <c r="H29" i="1" s="1"/>
  <c r="AT41" i="3"/>
  <c r="AT42" s="1"/>
  <c r="AS28"/>
  <c r="H28" i="1"/>
  <c r="M28" s="1"/>
  <c r="M22" s="1"/>
  <c r="I18" i="6"/>
  <c r="L28" i="1"/>
  <c r="AS5" i="3"/>
  <c r="AS6" s="1"/>
  <c r="AS7" s="1"/>
  <c r="AS8" s="1"/>
  <c r="AS9" s="1"/>
  <c r="AS10" s="1"/>
  <c r="AS11" s="1"/>
  <c r="AS12" s="1"/>
  <c r="AS13" s="1"/>
  <c r="N28" i="1"/>
  <c r="AS14" i="3"/>
  <c r="AS15" s="1"/>
  <c r="AS16" s="1"/>
  <c r="AS17" s="1"/>
  <c r="AS18" s="1"/>
  <c r="AS19" s="1"/>
  <c r="AS20" s="1"/>
  <c r="AS21" s="1"/>
  <c r="AS22" s="1"/>
  <c r="AS23" s="1"/>
  <c r="I13" i="1"/>
  <c r="J13" s="1"/>
  <c r="J28"/>
  <c r="E53"/>
  <c r="E56"/>
  <c r="E39"/>
  <c r="J3" i="3"/>
  <c r="K25" i="1"/>
  <c r="E39" i="6"/>
  <c r="K5" i="5"/>
  <c r="K6" s="1"/>
  <c r="K7" s="1"/>
  <c r="I8"/>
  <c r="D43" i="6"/>
  <c r="F43" s="1"/>
  <c r="J10" i="3"/>
  <c r="D13"/>
  <c r="E49" i="1"/>
  <c r="P4" i="3"/>
  <c r="D10" i="5"/>
  <c r="C44" i="6"/>
  <c r="E9" i="5"/>
  <c r="B44" i="6"/>
  <c r="F9" i="5"/>
  <c r="F8"/>
  <c r="G5" i="4"/>
  <c r="G19"/>
  <c r="G8"/>
  <c r="G6"/>
  <c r="G23"/>
  <c r="G9"/>
  <c r="G7"/>
  <c r="G16"/>
  <c r="G21"/>
  <c r="G13"/>
  <c r="G24"/>
  <c r="G15"/>
  <c r="G22"/>
  <c r="G10"/>
  <c r="G12"/>
  <c r="G20"/>
  <c r="G18"/>
  <c r="G14"/>
  <c r="G17"/>
  <c r="G11"/>
  <c r="I8" i="3"/>
  <c r="K7"/>
  <c r="B10" i="5"/>
  <c r="C10" s="1"/>
  <c r="C10" i="3"/>
  <c r="E9"/>
  <c r="E57" i="1"/>
  <c r="D58" s="1"/>
  <c r="I28" l="1"/>
  <c r="I14"/>
  <c r="P41" i="3"/>
  <c r="P42" s="1"/>
  <c r="V4"/>
  <c r="AB4" s="1"/>
  <c r="K3"/>
  <c r="J37"/>
  <c r="J38" s="1"/>
  <c r="H11" i="1"/>
  <c r="H10" s="1"/>
  <c r="K28"/>
  <c r="K22" s="1"/>
  <c r="J22"/>
  <c r="I22"/>
  <c r="AS24" i="3"/>
  <c r="N25" i="1" s="1"/>
  <c r="I16"/>
  <c r="I17" s="1"/>
  <c r="M25"/>
  <c r="H22"/>
  <c r="N22"/>
  <c r="L22"/>
  <c r="P3" i="3"/>
  <c r="V3" s="1"/>
  <c r="G26" i="4"/>
  <c r="B11" i="5"/>
  <c r="C11" s="1"/>
  <c r="C11" i="3"/>
  <c r="E10"/>
  <c r="P5"/>
  <c r="Q4"/>
  <c r="E10" i="5"/>
  <c r="B45" i="6"/>
  <c r="I9" i="3"/>
  <c r="K8"/>
  <c r="J14" i="1"/>
  <c r="K13"/>
  <c r="J16"/>
  <c r="J17" s="1"/>
  <c r="D14" i="3"/>
  <c r="J11"/>
  <c r="J8" i="5"/>
  <c r="I9"/>
  <c r="J9" s="1"/>
  <c r="D44" i="6"/>
  <c r="F44" s="1"/>
  <c r="D11" i="5"/>
  <c r="C45" i="6"/>
  <c r="F39"/>
  <c r="F64"/>
  <c r="AB25" i="3" l="1"/>
  <c r="AB26"/>
  <c r="AC26"/>
  <c r="I11" i="1"/>
  <c r="I10" s="1"/>
  <c r="AB3" i="3"/>
  <c r="V37"/>
  <c r="V38" s="1"/>
  <c r="Q3"/>
  <c r="P37"/>
  <c r="P38" s="1"/>
  <c r="V41"/>
  <c r="V42" s="1"/>
  <c r="W3"/>
  <c r="L13" i="1"/>
  <c r="K14"/>
  <c r="K12"/>
  <c r="K16"/>
  <c r="K17" s="1"/>
  <c r="I10" i="3"/>
  <c r="K9"/>
  <c r="D45" i="6"/>
  <c r="F45" s="1"/>
  <c r="I10" i="5"/>
  <c r="J10" s="1"/>
  <c r="Q5" i="3"/>
  <c r="P6"/>
  <c r="E11" i="5"/>
  <c r="B46" i="6"/>
  <c r="J12" i="3"/>
  <c r="D15"/>
  <c r="V5"/>
  <c r="W4"/>
  <c r="B12" i="5"/>
  <c r="C12" s="1"/>
  <c r="C12" i="3"/>
  <c r="E11"/>
  <c r="K8" i="5"/>
  <c r="K9" s="1"/>
  <c r="F10"/>
  <c r="D12"/>
  <c r="C46" i="6"/>
  <c r="J11" i="1" l="1"/>
  <c r="AB37" i="3"/>
  <c r="AB38" s="1"/>
  <c r="AN41"/>
  <c r="AN42" s="1"/>
  <c r="AO4"/>
  <c r="AB41"/>
  <c r="AB42" s="1"/>
  <c r="AT3"/>
  <c r="K10" i="5"/>
  <c r="K11" i="1"/>
  <c r="K10" s="1"/>
  <c r="J10"/>
  <c r="B13" i="5"/>
  <c r="C13" s="1"/>
  <c r="C13" i="3"/>
  <c r="E12"/>
  <c r="AB5"/>
  <c r="AC4"/>
  <c r="D46" i="6"/>
  <c r="F46" s="1"/>
  <c r="I11" i="5"/>
  <c r="I11" i="3"/>
  <c r="K10"/>
  <c r="L14" i="1"/>
  <c r="L12"/>
  <c r="H12"/>
  <c r="L16"/>
  <c r="L17" s="1"/>
  <c r="I12"/>
  <c r="J12"/>
  <c r="D13" i="5"/>
  <c r="C47" i="6"/>
  <c r="E12" i="5"/>
  <c r="B47" i="6"/>
  <c r="V6" i="3"/>
  <c r="W5"/>
  <c r="D16"/>
  <c r="J13"/>
  <c r="P7"/>
  <c r="Q6"/>
  <c r="AC3"/>
  <c r="F11" i="5"/>
  <c r="AO5" i="3" l="1"/>
  <c r="AT5"/>
  <c r="AN37"/>
  <c r="AN38" s="1"/>
  <c r="AO3"/>
  <c r="AT4"/>
  <c r="AU4" s="1"/>
  <c r="AU5"/>
  <c r="AU3"/>
  <c r="AT37"/>
  <c r="AT38" s="1"/>
  <c r="F12" i="5"/>
  <c r="Q7" i="3"/>
  <c r="P8"/>
  <c r="D14" i="5"/>
  <c r="C48" i="6"/>
  <c r="J11" i="5"/>
  <c r="B14"/>
  <c r="C14" s="1"/>
  <c r="C14" i="3"/>
  <c r="E13"/>
  <c r="J14"/>
  <c r="D17"/>
  <c r="V7"/>
  <c r="W6"/>
  <c r="D47" i="6"/>
  <c r="F47" s="1"/>
  <c r="I12" i="5"/>
  <c r="J12" s="1"/>
  <c r="I12" i="3"/>
  <c r="K11"/>
  <c r="AC5"/>
  <c r="AB6"/>
  <c r="E13" i="5"/>
  <c r="B48" i="6"/>
  <c r="AT6" i="3" l="1"/>
  <c r="AU6" s="1"/>
  <c r="AO6"/>
  <c r="F13" i="5"/>
  <c r="AB7" i="3"/>
  <c r="AC6"/>
  <c r="D18"/>
  <c r="J15"/>
  <c r="B15" i="5"/>
  <c r="C15" i="3"/>
  <c r="E14"/>
  <c r="D48" i="6"/>
  <c r="F48" s="1"/>
  <c r="I13" i="5"/>
  <c r="J13" s="1"/>
  <c r="I13" i="3"/>
  <c r="K12"/>
  <c r="V8"/>
  <c r="W7"/>
  <c r="E14" i="5"/>
  <c r="B49" i="6"/>
  <c r="K11" i="5"/>
  <c r="K12" s="1"/>
  <c r="D15"/>
  <c r="C49" i="6"/>
  <c r="P9" i="3"/>
  <c r="Q8"/>
  <c r="AO7" l="1"/>
  <c r="AT7"/>
  <c r="AU7"/>
  <c r="K13" i="5"/>
  <c r="P10" i="3"/>
  <c r="Q9"/>
  <c r="D16" i="5"/>
  <c r="C50" i="6"/>
  <c r="I14" i="5"/>
  <c r="J14" s="1"/>
  <c r="D49" i="6"/>
  <c r="F49" s="1"/>
  <c r="W8" i="3"/>
  <c r="V9"/>
  <c r="I14"/>
  <c r="K13"/>
  <c r="B16" i="5"/>
  <c r="C16" i="3"/>
  <c r="E15"/>
  <c r="E15" i="5"/>
  <c r="B50" i="6"/>
  <c r="J16" i="3"/>
  <c r="D19"/>
  <c r="AB8"/>
  <c r="AC7"/>
  <c r="F14" i="5"/>
  <c r="AT8" i="3" l="1"/>
  <c r="AO8"/>
  <c r="K14" i="5"/>
  <c r="AU8" i="3"/>
  <c r="AB9"/>
  <c r="AC8"/>
  <c r="E16" i="5"/>
  <c r="B51" i="6"/>
  <c r="I15" i="3"/>
  <c r="K14"/>
  <c r="D17" i="5"/>
  <c r="C51" i="6"/>
  <c r="D20" i="3"/>
  <c r="J17"/>
  <c r="F15" i="5"/>
  <c r="I15"/>
  <c r="J15" s="1"/>
  <c r="D50" i="6"/>
  <c r="F50" s="1"/>
  <c r="B17" i="5"/>
  <c r="C17" i="3"/>
  <c r="E16"/>
  <c r="V10"/>
  <c r="W9"/>
  <c r="P11"/>
  <c r="Q10"/>
  <c r="AO9" l="1"/>
  <c r="AT9"/>
  <c r="AU9" s="1"/>
  <c r="K15" i="5"/>
  <c r="K16" s="1"/>
  <c r="Q11" i="3"/>
  <c r="P12"/>
  <c r="E17" i="5"/>
  <c r="B52" i="6"/>
  <c r="J18" i="3"/>
  <c r="D21"/>
  <c r="D18" i="5"/>
  <c r="C52" i="6"/>
  <c r="I16" i="3"/>
  <c r="K15"/>
  <c r="F16" i="5"/>
  <c r="D51" i="6"/>
  <c r="F51" s="1"/>
  <c r="I16" i="5"/>
  <c r="J16" s="1"/>
  <c r="V11" i="3"/>
  <c r="W10"/>
  <c r="B18" i="5"/>
  <c r="C18" i="3"/>
  <c r="E17"/>
  <c r="AC9"/>
  <c r="AB10"/>
  <c r="AT10" l="1"/>
  <c r="AU10" s="1"/>
  <c r="AO10"/>
  <c r="E18" i="5"/>
  <c r="B53" i="6"/>
  <c r="V12" i="3"/>
  <c r="W11"/>
  <c r="I17"/>
  <c r="K16"/>
  <c r="D19" i="5"/>
  <c r="C53" i="6"/>
  <c r="D22" i="3"/>
  <c r="J19"/>
  <c r="F17" i="5"/>
  <c r="D52" i="6"/>
  <c r="F52" s="1"/>
  <c r="I17" i="5"/>
  <c r="J17" s="1"/>
  <c r="K17" s="1"/>
  <c r="P13" i="3"/>
  <c r="Q12"/>
  <c r="AB11"/>
  <c r="AC10"/>
  <c r="B19" i="5"/>
  <c r="C19" i="3"/>
  <c r="E18"/>
  <c r="AO11" l="1"/>
  <c r="AT11"/>
  <c r="AU11" s="1"/>
  <c r="E19" i="5"/>
  <c r="B54" i="6"/>
  <c r="J20" i="3"/>
  <c r="D23"/>
  <c r="D20" i="5"/>
  <c r="C54" i="6"/>
  <c r="I18" i="3"/>
  <c r="K17"/>
  <c r="B20" i="5"/>
  <c r="C20" i="3"/>
  <c r="E19"/>
  <c r="AC11"/>
  <c r="AB12"/>
  <c r="P14"/>
  <c r="Q13"/>
  <c r="V13"/>
  <c r="W12"/>
  <c r="F18" i="5"/>
  <c r="I18"/>
  <c r="J18" s="1"/>
  <c r="K18" s="1"/>
  <c r="D53" i="6"/>
  <c r="F53" s="1"/>
  <c r="AT12" i="3" l="1"/>
  <c r="AU12" s="1"/>
  <c r="AO12"/>
  <c r="AB13"/>
  <c r="AC12"/>
  <c r="E20" i="5"/>
  <c r="B55" i="6"/>
  <c r="I19" i="3"/>
  <c r="K18"/>
  <c r="D21" i="5"/>
  <c r="C55" i="6"/>
  <c r="D24" i="3"/>
  <c r="H24" i="1" s="1"/>
  <c r="J21" i="3"/>
  <c r="F19" i="5"/>
  <c r="D54" i="6"/>
  <c r="F54" s="1"/>
  <c r="I19" i="5"/>
  <c r="J19" s="1"/>
  <c r="K19" s="1"/>
  <c r="V14" i="3"/>
  <c r="W13"/>
  <c r="P15"/>
  <c r="Q14"/>
  <c r="B21" i="5"/>
  <c r="C21" i="3"/>
  <c r="E20"/>
  <c r="AO13" l="1"/>
  <c r="AT13"/>
  <c r="AU13" s="1"/>
  <c r="E21" i="5"/>
  <c r="B56" i="6"/>
  <c r="Q15" i="3"/>
  <c r="P16"/>
  <c r="V15"/>
  <c r="W14"/>
  <c r="AB14"/>
  <c r="AC13"/>
  <c r="B22" i="5"/>
  <c r="C22" i="3"/>
  <c r="E21"/>
  <c r="J22"/>
  <c r="D22" i="5"/>
  <c r="C56" i="6"/>
  <c r="I20" i="3"/>
  <c r="K19"/>
  <c r="F20" i="5"/>
  <c r="D55" i="6"/>
  <c r="F55" s="1"/>
  <c r="I20" i="5"/>
  <c r="J20" s="1"/>
  <c r="K20" s="1"/>
  <c r="AT14" i="3" l="1"/>
  <c r="AO14"/>
  <c r="I21"/>
  <c r="K20"/>
  <c r="D23" i="5"/>
  <c r="C57" i="6"/>
  <c r="J23" i="3"/>
  <c r="B23" i="5"/>
  <c r="C23" i="3"/>
  <c r="E22"/>
  <c r="P17"/>
  <c r="P25" s="1"/>
  <c r="Q16"/>
  <c r="E22" i="5"/>
  <c r="B57" i="6"/>
  <c r="AB15" i="3"/>
  <c r="AC14"/>
  <c r="V16"/>
  <c r="W15"/>
  <c r="F21" i="5"/>
  <c r="I21"/>
  <c r="J21" s="1"/>
  <c r="K21" s="1"/>
  <c r="D56" i="6"/>
  <c r="F56" s="1"/>
  <c r="AO15" i="3" l="1"/>
  <c r="AT15"/>
  <c r="AU14"/>
  <c r="E23" i="5"/>
  <c r="B58" i="6"/>
  <c r="J24" i="3"/>
  <c r="D24" i="5"/>
  <c r="C58" i="6"/>
  <c r="I22" i="3"/>
  <c r="K21"/>
  <c r="W16"/>
  <c r="V17"/>
  <c r="AB16"/>
  <c r="AC15"/>
  <c r="F22" i="5"/>
  <c r="I22"/>
  <c r="J22" s="1"/>
  <c r="K22" s="1"/>
  <c r="D57" i="6"/>
  <c r="F57" s="1"/>
  <c r="P18" i="3"/>
  <c r="Q17"/>
  <c r="B24" i="5"/>
  <c r="B25" s="1"/>
  <c r="C24" i="3"/>
  <c r="E23"/>
  <c r="AT16" l="1"/>
  <c r="AO16"/>
  <c r="I24" i="1"/>
  <c r="J25" i="3"/>
  <c r="J26" s="1"/>
  <c r="AU15"/>
  <c r="B26" i="5"/>
  <c r="C59" i="6"/>
  <c r="D25" i="5"/>
  <c r="D26" s="1"/>
  <c r="D27" s="1"/>
  <c r="D28" s="1"/>
  <c r="D29" s="1"/>
  <c r="D30" s="1"/>
  <c r="D31" s="1"/>
  <c r="D32" s="1"/>
  <c r="D33" s="1"/>
  <c r="D34" s="1"/>
  <c r="H25" i="1"/>
  <c r="H26" s="1"/>
  <c r="C26" i="3"/>
  <c r="AB17"/>
  <c r="AC16"/>
  <c r="I23"/>
  <c r="K22"/>
  <c r="F23" i="5"/>
  <c r="D58" i="6"/>
  <c r="F58" s="1"/>
  <c r="I23" i="5"/>
  <c r="J23" s="1"/>
  <c r="K23" s="1"/>
  <c r="C27" i="3"/>
  <c r="E24"/>
  <c r="E24" i="5"/>
  <c r="B59" i="6"/>
  <c r="P19" i="3"/>
  <c r="Q18"/>
  <c r="V18"/>
  <c r="W17"/>
  <c r="AO17" l="1"/>
  <c r="AT17"/>
  <c r="AU16"/>
  <c r="E26" i="5"/>
  <c r="B27"/>
  <c r="E25"/>
  <c r="V19" i="3"/>
  <c r="V25" s="1"/>
  <c r="W18"/>
  <c r="P20"/>
  <c r="Q19"/>
  <c r="H27" i="1"/>
  <c r="F6" i="3"/>
  <c r="F5"/>
  <c r="F4"/>
  <c r="F7"/>
  <c r="F3"/>
  <c r="F8"/>
  <c r="F9"/>
  <c r="F10"/>
  <c r="F11"/>
  <c r="F12"/>
  <c r="F13"/>
  <c r="F14"/>
  <c r="F15"/>
  <c r="F16"/>
  <c r="F17"/>
  <c r="F18"/>
  <c r="F19"/>
  <c r="F20"/>
  <c r="F21"/>
  <c r="F22"/>
  <c r="I24"/>
  <c r="K23"/>
  <c r="AB18"/>
  <c r="AC17"/>
  <c r="F23"/>
  <c r="F24" i="5"/>
  <c r="D59" i="6"/>
  <c r="F59" s="1"/>
  <c r="I24" i="5"/>
  <c r="AT18" i="3" l="1"/>
  <c r="AO18"/>
  <c r="W26"/>
  <c r="V26"/>
  <c r="AU17"/>
  <c r="F25" i="5"/>
  <c r="I25"/>
  <c r="J25" s="1"/>
  <c r="I26"/>
  <c r="J26" s="1"/>
  <c r="F26"/>
  <c r="B28"/>
  <c r="E27"/>
  <c r="J24"/>
  <c r="H50"/>
  <c r="I27" i="3"/>
  <c r="I27" i="1" s="1"/>
  <c r="K24" i="3"/>
  <c r="P21"/>
  <c r="Q26" s="1"/>
  <c r="Q20"/>
  <c r="V20"/>
  <c r="W19"/>
  <c r="F63" i="6"/>
  <c r="F65" s="1"/>
  <c r="F62"/>
  <c r="AB19" i="3"/>
  <c r="AC18"/>
  <c r="I25" i="1"/>
  <c r="I26" s="1"/>
  <c r="I26" i="3"/>
  <c r="F24"/>
  <c r="AO19" l="1"/>
  <c r="AT19"/>
  <c r="AU18"/>
  <c r="B29" i="5"/>
  <c r="E28"/>
  <c r="F27"/>
  <c r="I27"/>
  <c r="J27" s="1"/>
  <c r="AB20" i="3"/>
  <c r="AC19"/>
  <c r="V21"/>
  <c r="W20"/>
  <c r="P22"/>
  <c r="Q21"/>
  <c r="H52" i="5"/>
  <c r="H49"/>
  <c r="K24"/>
  <c r="K25" s="1"/>
  <c r="K26" s="1"/>
  <c r="AT20" i="3" l="1"/>
  <c r="AO20"/>
  <c r="AU19"/>
  <c r="K27" i="5"/>
  <c r="B30"/>
  <c r="E29"/>
  <c r="I28"/>
  <c r="J28" s="1"/>
  <c r="F28"/>
  <c r="P23" i="3"/>
  <c r="Q22"/>
  <c r="V22"/>
  <c r="W21"/>
  <c r="AB21"/>
  <c r="AC20"/>
  <c r="AO21" l="1"/>
  <c r="AT21"/>
  <c r="AU20"/>
  <c r="K28" i="5"/>
  <c r="B31"/>
  <c r="E30"/>
  <c r="F29"/>
  <c r="I29"/>
  <c r="J29" s="1"/>
  <c r="K29" s="1"/>
  <c r="AB22" i="3"/>
  <c r="AC21"/>
  <c r="V23"/>
  <c r="W22"/>
  <c r="Q23"/>
  <c r="P24"/>
  <c r="AT22" l="1"/>
  <c r="AO22"/>
  <c r="AU21"/>
  <c r="B32" i="5"/>
  <c r="E31"/>
  <c r="I30"/>
  <c r="J30" s="1"/>
  <c r="K30" s="1"/>
  <c r="F30"/>
  <c r="J24" i="1"/>
  <c r="O26" i="3"/>
  <c r="O27"/>
  <c r="Q24"/>
  <c r="W23"/>
  <c r="V24"/>
  <c r="AB23"/>
  <c r="AC22"/>
  <c r="AP4" l="1"/>
  <c r="AP3"/>
  <c r="AP5"/>
  <c r="AP6"/>
  <c r="AP7"/>
  <c r="AP8"/>
  <c r="AP9"/>
  <c r="AP10"/>
  <c r="AP11"/>
  <c r="AP12"/>
  <c r="AP13"/>
  <c r="AP14"/>
  <c r="AP15"/>
  <c r="AP16"/>
  <c r="AP17"/>
  <c r="AP18"/>
  <c r="AP19"/>
  <c r="AP20"/>
  <c r="AP21"/>
  <c r="AP22"/>
  <c r="AN26"/>
  <c r="AO23"/>
  <c r="AN65"/>
  <c r="AN66" s="1"/>
  <c r="AT23"/>
  <c r="AN24"/>
  <c r="AM26" s="1"/>
  <c r="AV4"/>
  <c r="AV3"/>
  <c r="AV5"/>
  <c r="AV6"/>
  <c r="AV7"/>
  <c r="AV8"/>
  <c r="AV9"/>
  <c r="AV10"/>
  <c r="AV11"/>
  <c r="AV12"/>
  <c r="AV13"/>
  <c r="AV14"/>
  <c r="AV15"/>
  <c r="AV16"/>
  <c r="AV17"/>
  <c r="AV18"/>
  <c r="AV19"/>
  <c r="AU22"/>
  <c r="AV22" s="1"/>
  <c r="AU23"/>
  <c r="AV23" s="1"/>
  <c r="AV20"/>
  <c r="AV21"/>
  <c r="R23"/>
  <c r="X22"/>
  <c r="AD21"/>
  <c r="AD22"/>
  <c r="F31" i="5"/>
  <c r="I31"/>
  <c r="J31" s="1"/>
  <c r="K31" s="1"/>
  <c r="B33"/>
  <c r="E32"/>
  <c r="K24" i="1"/>
  <c r="U26" i="3"/>
  <c r="J26" i="1"/>
  <c r="AC23" i="3"/>
  <c r="AB24"/>
  <c r="X23"/>
  <c r="W24"/>
  <c r="U27"/>
  <c r="K27" i="1" s="1"/>
  <c r="J27"/>
  <c r="L4" i="3"/>
  <c r="L5"/>
  <c r="L6"/>
  <c r="L3"/>
  <c r="L7"/>
  <c r="R4"/>
  <c r="L8"/>
  <c r="R3"/>
  <c r="X3"/>
  <c r="R5"/>
  <c r="L9"/>
  <c r="X4"/>
  <c r="AD3"/>
  <c r="AD4"/>
  <c r="R6"/>
  <c r="X5"/>
  <c r="L10"/>
  <c r="R7"/>
  <c r="AD5"/>
  <c r="L11"/>
  <c r="X6"/>
  <c r="AD6"/>
  <c r="X7"/>
  <c r="L12"/>
  <c r="R8"/>
  <c r="L13"/>
  <c r="X8"/>
  <c r="R9"/>
  <c r="AD7"/>
  <c r="AD8"/>
  <c r="L14"/>
  <c r="X9"/>
  <c r="R10"/>
  <c r="X10"/>
  <c r="L15"/>
  <c r="R11"/>
  <c r="AD9"/>
  <c r="AD10"/>
  <c r="X11"/>
  <c r="R12"/>
  <c r="L16"/>
  <c r="X12"/>
  <c r="AD11"/>
  <c r="R13"/>
  <c r="L17"/>
  <c r="L18"/>
  <c r="X13"/>
  <c r="R14"/>
  <c r="AD12"/>
  <c r="X14"/>
  <c r="AD13"/>
  <c r="L19"/>
  <c r="R15"/>
  <c r="AD14"/>
  <c r="X15"/>
  <c r="R16"/>
  <c r="L20"/>
  <c r="X16"/>
  <c r="L21"/>
  <c r="R17"/>
  <c r="AD15"/>
  <c r="X17"/>
  <c r="AD16"/>
  <c r="R18"/>
  <c r="L22"/>
  <c r="L23"/>
  <c r="X18"/>
  <c r="AD17"/>
  <c r="R19"/>
  <c r="X19"/>
  <c r="AD18"/>
  <c r="R20"/>
  <c r="R21"/>
  <c r="AD19"/>
  <c r="X20"/>
  <c r="AD20"/>
  <c r="R22"/>
  <c r="X21"/>
  <c r="AP23" l="1"/>
  <c r="AP24" s="1"/>
  <c r="AM27"/>
  <c r="M27" i="1" s="1"/>
  <c r="AO24" i="3"/>
  <c r="AT24"/>
  <c r="AT25" s="1"/>
  <c r="AU24"/>
  <c r="M24" i="1"/>
  <c r="K23" s="1"/>
  <c r="AS27" i="3"/>
  <c r="N27" i="1" s="1"/>
  <c r="AV24" i="3"/>
  <c r="I32" i="5"/>
  <c r="J32" s="1"/>
  <c r="K32" s="1"/>
  <c r="F32"/>
  <c r="B34"/>
  <c r="E34" s="1"/>
  <c r="E33"/>
  <c r="AD23" i="3"/>
  <c r="AC24"/>
  <c r="AA27"/>
  <c r="L27" i="1" s="1"/>
  <c r="K26"/>
  <c r="AD24" i="3"/>
  <c r="X24"/>
  <c r="L24" i="1"/>
  <c r="AA26" i="3"/>
  <c r="R24"/>
  <c r="L24"/>
  <c r="N24" i="1" l="1"/>
  <c r="N23" s="1"/>
  <c r="L23"/>
  <c r="AS26" i="3"/>
  <c r="M23" i="1"/>
  <c r="H23"/>
  <c r="I23"/>
  <c r="M26"/>
  <c r="J23"/>
  <c r="F33" i="5"/>
  <c r="I33"/>
  <c r="J33" s="1"/>
  <c r="K33" s="1"/>
  <c r="I34"/>
  <c r="J34" s="1"/>
  <c r="F34"/>
  <c r="L26" i="1"/>
  <c r="N26" l="1"/>
  <c r="K34" i="5"/>
  <c r="W40" i="10" l="1"/>
  <c r="W41" s="1"/>
</calcChain>
</file>

<file path=xl/comments1.xml><?xml version="1.0" encoding="utf-8"?>
<comments xmlns="http://schemas.openxmlformats.org/spreadsheetml/2006/main">
  <authors>
    <author>Phil Henshaw</author>
  </authors>
  <commentList>
    <comment ref="C15" authorId="0">
      <text>
        <r>
          <rPr>
            <b/>
            <sz val="8"/>
            <color indexed="81"/>
            <rFont val="Tahoma"/>
            <family val="2"/>
          </rPr>
          <t>Phil Henshaw:</t>
        </r>
        <r>
          <rPr>
            <sz val="8"/>
            <color indexed="81"/>
            <rFont val="Tahoma"/>
            <family val="2"/>
          </rPr>
          <t xml:space="preserve">
does not seem to include business offices</t>
        </r>
      </text>
    </comment>
    <comment ref="F22" authorId="0">
      <text>
        <r>
          <rPr>
            <sz val="8"/>
            <color indexed="81"/>
            <rFont val="Tahoma"/>
            <family val="2"/>
          </rPr>
          <t xml:space="preserve">CK
% of energy (LCA method) = cumulative money spent at each step / NPV of total cash costs (does not include income from electricity sales)
</t>
        </r>
      </text>
    </comment>
    <comment ref="I22" authorId="0">
      <text>
        <r>
          <rPr>
            <b/>
            <sz val="8"/>
            <color indexed="81"/>
            <rFont val="Tahoma"/>
            <family val="2"/>
          </rPr>
          <t>Phil Henshaw:</t>
        </r>
        <r>
          <rPr>
            <sz val="8"/>
            <color indexed="81"/>
            <rFont val="Tahoma"/>
            <family val="2"/>
          </rPr>
          <t xml:space="preserve">
placeholder from abv
</t>
        </r>
      </text>
    </comment>
    <comment ref="F26" authorId="0">
      <text>
        <r>
          <rPr>
            <b/>
            <sz val="8"/>
            <color indexed="81"/>
            <rFont val="Tahoma"/>
            <family val="2"/>
          </rPr>
          <t>CK
MODIFIED by CK - link to tab "EROI vs IRR VestOnshore2MW"</t>
        </r>
        <r>
          <rPr>
            <sz val="8"/>
            <color indexed="81"/>
            <rFont val="Tahoma"/>
            <family val="2"/>
          </rPr>
          <t xml:space="preserve">
</t>
        </r>
      </text>
    </comment>
    <comment ref="F27" authorId="0">
      <text>
        <r>
          <rPr>
            <b/>
            <sz val="8"/>
            <color indexed="81"/>
            <rFont val="Tahoma"/>
            <family val="2"/>
          </rPr>
          <t>MODIFIED by CK - link to tab "EROI vs IRR VestOnshore2MW"</t>
        </r>
      </text>
    </comment>
    <comment ref="C30" authorId="0">
      <text>
        <r>
          <rPr>
            <b/>
            <sz val="8"/>
            <color indexed="81"/>
            <rFont val="Tahoma"/>
            <family val="2"/>
          </rPr>
          <t>Phil Henshaw:</t>
        </r>
        <r>
          <rPr>
            <sz val="8"/>
            <color indexed="81"/>
            <rFont val="Tahoma"/>
            <family val="2"/>
          </rPr>
          <t xml:space="preserve">
For Unexamined Technology energy use - In the absense of hard measures of energy use a % of the AvgWh/$ is needed for the LCA + AvgWh/$ equation.   25% is a probable fraction for high technology
</t>
        </r>
      </text>
    </comment>
    <comment ref="E30" authorId="0">
      <text>
        <r>
          <rPr>
            <b/>
            <sz val="8"/>
            <color indexed="81"/>
            <rFont val="Tahoma"/>
            <family val="2"/>
          </rPr>
          <t xml:space="preserve">Phil Henshaw:
LCA physical energy accounts OR product of cost, average Wh/$ and assigned % of Avg as LCA estimate for technology chain energy uses
</t>
        </r>
      </text>
    </comment>
    <comment ref="B33" authorId="0">
      <text>
        <r>
          <rPr>
            <b/>
            <sz val="8"/>
            <color indexed="81"/>
            <rFont val="Tahoma"/>
            <family val="2"/>
          </rPr>
          <t>Phil Henshaw:</t>
        </r>
        <r>
          <rPr>
            <sz val="8"/>
            <color indexed="81"/>
            <rFont val="Tahoma"/>
            <family val="2"/>
          </rPr>
          <t xml:space="preserve">
for fuels stated only in $ costs</t>
        </r>
      </text>
    </comment>
    <comment ref="B35" authorId="0">
      <text>
        <r>
          <rPr>
            <b/>
            <sz val="8"/>
            <color indexed="81"/>
            <rFont val="Tahoma"/>
            <family val="2"/>
          </rPr>
          <t>Phil Henshaw:</t>
        </r>
        <r>
          <rPr>
            <sz val="8"/>
            <color indexed="81"/>
            <rFont val="Tahoma"/>
            <family val="2"/>
          </rPr>
          <t xml:space="preserve">
for fuels stated only in $ costs</t>
        </r>
      </text>
    </comment>
    <comment ref="E40" authorId="0">
      <text>
        <r>
          <rPr>
            <b/>
            <sz val="8"/>
            <color indexed="81"/>
            <rFont val="Tahoma"/>
            <family val="2"/>
          </rPr>
          <t xml:space="preserve">Phil Henshaw:
System energy assessment - using average MW/$ adjusted with a % Avg factor if there's a reason
</t>
        </r>
      </text>
    </comment>
    <comment ref="C41" authorId="0">
      <text>
        <r>
          <rPr>
            <b/>
            <sz val="8"/>
            <color indexed="81"/>
            <rFont val="Tahoma"/>
            <family val="2"/>
          </rPr>
          <t>Phil Henshaw:</t>
        </r>
        <r>
          <rPr>
            <sz val="8"/>
            <color indexed="81"/>
            <rFont val="Tahoma"/>
            <family val="2"/>
          </rPr>
          <t xml:space="preserve">
For Unexamined Technology energy use - In the absense of hard measures of energy use a % of the AvgWh/$ is needed for the LCA + AvgWh/$ equation.   25% is a probable fraction for high technology
</t>
        </r>
      </text>
    </comment>
    <comment ref="I68" authorId="0">
      <text>
        <r>
          <rPr>
            <b/>
            <sz val="8"/>
            <color indexed="81"/>
            <rFont val="Tahoma"/>
            <family val="2"/>
          </rPr>
          <t xml:space="preserve">Phil Henshaw
nominal cost of energy (ph Con Ed bill) and fraction of average Wh/$
</t>
        </r>
      </text>
    </comment>
    <comment ref="F69" authorId="0">
      <text>
        <r>
          <rPr>
            <b/>
            <sz val="8"/>
            <color indexed="81"/>
            <rFont val="Tahoma"/>
            <family val="2"/>
          </rPr>
          <t>Phil Henshaw:</t>
        </r>
        <r>
          <rPr>
            <sz val="8"/>
            <color indexed="81"/>
            <rFont val="Tahoma"/>
            <family val="2"/>
          </rPr>
          <t xml:space="preserve">
Same data source yields differing results for unclear reasons….</t>
        </r>
      </text>
    </comment>
  </commentList>
</comments>
</file>

<file path=xl/comments2.xml><?xml version="1.0" encoding="utf-8"?>
<comments xmlns="http://schemas.openxmlformats.org/spreadsheetml/2006/main">
  <authors>
    <author>Marshall Goldberg</author>
    <author xml:space="preserve"> </author>
  </authors>
  <commentList>
    <comment ref="A13" authorId="0">
      <text>
        <r>
          <rPr>
            <b/>
            <sz val="8"/>
            <color indexed="81"/>
            <rFont val="Tahoma"/>
            <family val="2"/>
          </rPr>
          <t xml:space="preserve">
Project location is state name (or other user add-in location - MyCounty or MyRegion) where wind plant is constructed. 
</t>
        </r>
        <r>
          <rPr>
            <b/>
            <sz val="8"/>
            <color indexed="10"/>
            <rFont val="Tahoma"/>
            <family val="2"/>
          </rPr>
          <t>(Entry required -choose from pull-down list)</t>
        </r>
      </text>
    </comment>
    <comment ref="A14" authorId="1">
      <text>
        <r>
          <rPr>
            <b/>
            <sz val="8"/>
            <color indexed="81"/>
            <rFont val="Tahoma"/>
            <family val="2"/>
          </rPr>
          <t xml:space="preserve"> 
If running a county or regional analysis: area population is required to incorporate appropriate default values for local shares.</t>
        </r>
      </text>
    </comment>
    <comment ref="A15" authorId="0">
      <text>
        <r>
          <rPr>
            <b/>
            <sz val="8"/>
            <color indexed="81"/>
            <rFont val="Tahoma"/>
            <family val="2"/>
          </rPr>
          <t xml:space="preserve">
Year of construction is year in which construction occurs - not to exceed 2030. </t>
        </r>
        <r>
          <rPr>
            <b/>
            <sz val="8"/>
            <color indexed="10"/>
            <rFont val="Tahoma"/>
            <family val="2"/>
          </rPr>
          <t>(Entry required)</t>
        </r>
      </text>
    </comment>
    <comment ref="A16" authorId="0">
      <text>
        <r>
          <rPr>
            <b/>
            <sz val="8"/>
            <color indexed="81"/>
            <rFont val="Tahoma"/>
            <family val="2"/>
          </rPr>
          <t xml:space="preserve">
Project size is number of megawatts (MW) - 1 MW = 1 thousand kilowatts (KW).  (Entry required)
</t>
        </r>
        <r>
          <rPr>
            <b/>
            <sz val="8"/>
            <color indexed="10"/>
            <rFont val="Tahoma"/>
            <family val="2"/>
          </rPr>
          <t xml:space="preserve">Due to economies of scale for larger projects, it is recommended Users analyze projects individually rather than grouping them together as one project. </t>
        </r>
      </text>
    </comment>
    <comment ref="A19" authorId="0">
      <text>
        <r>
          <rPr>
            <b/>
            <sz val="8"/>
            <color indexed="81"/>
            <rFont val="Tahoma"/>
            <family val="2"/>
          </rPr>
          <t xml:space="preserve">
The number of Turbines is automatically calculated by dividing the project size (MW * 1000) by the turbine size (KW).</t>
        </r>
      </text>
    </comment>
    <comment ref="A20" authorId="1">
      <text>
        <r>
          <rPr>
            <b/>
            <sz val="8"/>
            <color indexed="81"/>
            <rFont val="Tahoma"/>
            <family val="2"/>
          </rPr>
          <t xml:space="preserve"> 
Default installed cost is based on national average costs (i.e., construction cost) adjusted for geographic differences in construction labor costs.  This value is automatically entered unless changed by user.  Installed cost does not include land easement or interest payments during construction period.</t>
        </r>
      </text>
    </comment>
    <comment ref="A21" authorId="0">
      <text>
        <r>
          <rPr>
            <b/>
            <sz val="8"/>
            <color indexed="81"/>
            <rFont val="Tahoma"/>
            <family val="2"/>
          </rPr>
          <t xml:space="preserve">
Default Annual Operations and Maintenance Cost is based on national average costs for the respective size wind farm.  The cost is automatically entered unless revised by user.  The cost includes all operating and maintenance costs except costs associated with debt or equity financing, land easement, or taxes (these values are included elsewhere).</t>
        </r>
      </text>
    </comment>
    <comment ref="A22" authorId="0">
      <text>
        <r>
          <rPr>
            <b/>
            <sz val="8"/>
            <color indexed="81"/>
            <rFont val="Tahoma"/>
            <family val="2"/>
          </rPr>
          <t xml:space="preserve">
Money value refers to the time value of money - accounting for inflationary influences over time.  
"Current" implies dollar values are the same year as construction (e.g., enter 2004 for construction in 2004).  
"Constant" implies dollar values are for a year other than the year  construction occurs (e.g., enter 1999 for construction in 2004 with cost estimates in 1999 dollar values).</t>
        </r>
      </text>
    </comment>
    <comment ref="A24" authorId="0">
      <text>
        <r>
          <rPr>
            <b/>
            <sz val="8"/>
            <color indexed="81"/>
            <rFont val="Tahoma"/>
            <family val="2"/>
          </rPr>
          <t xml:space="preserve">
Choose "Y" to run analysis using System Description Data (entered above) and default System Cost Data (automatically entered below).
Choose "N" to run analysis using System Descriptive Data (entered above) with user modified System Cost Data (entered below) .</t>
        </r>
        <r>
          <rPr>
            <b/>
            <sz val="8"/>
            <color indexed="10"/>
            <rFont val="Tahoma"/>
            <family val="2"/>
          </rPr>
          <t xml:space="preserve">  User defined cost data will not be incorporated in the analysis if an "N" is not chosen here.
                               (Entry Required) </t>
        </r>
        <r>
          <rPr>
            <b/>
            <sz val="8"/>
            <color indexed="81"/>
            <rFont val="Tahoma"/>
            <family val="2"/>
          </rPr>
          <t xml:space="preserve">
</t>
        </r>
      </text>
    </comment>
    <comment ref="E31" authorId="0">
      <text>
        <r>
          <rPr>
            <b/>
            <sz val="8"/>
            <color indexed="81"/>
            <rFont val="Tahoma"/>
            <family val="2"/>
          </rPr>
          <t xml:space="preserve">
Local Share is the percentage of expenditure spent in the state or local region where the plant is constructed.</t>
        </r>
      </text>
    </comment>
    <comment ref="A45" authorId="0">
      <text>
        <r>
          <rPr>
            <b/>
            <sz val="8"/>
            <color indexed="81"/>
            <rFont val="Tahoma"/>
            <family val="2"/>
          </rPr>
          <t xml:space="preserve">
Labor Costs include hourly wages plus employer paid costs such as health benefits, workers compensation, disability insurance, and social security, among others.
</t>
        </r>
        <r>
          <rPr>
            <b/>
            <sz val="8"/>
            <color indexed="10"/>
            <rFont val="Tahoma"/>
            <family val="2"/>
          </rPr>
          <t>**If revising labor costs, please note:</t>
        </r>
        <r>
          <rPr>
            <b/>
            <sz val="8"/>
            <color indexed="81"/>
            <rFont val="Tahoma"/>
            <family val="2"/>
          </rPr>
          <t xml:space="preserve"> </t>
        </r>
        <r>
          <rPr>
            <b/>
            <sz val="8"/>
            <color indexed="10"/>
            <rFont val="Tahoma"/>
            <family val="2"/>
          </rPr>
          <t xml:space="preserve">Labor costs (entered in these cells) are associated with per hour construction wage rates (entered below).  Therefore, user changes to labor costs must be accompanied by changes in hourly wage rates and overhead costs or changes will adversely impact (increase or decrease) the total number of construction workers reported (calculated) in the results.  </t>
        </r>
        <r>
          <rPr>
            <b/>
            <i/>
            <sz val="8"/>
            <color indexed="10"/>
            <rFont val="Tahoma"/>
            <family val="2"/>
          </rPr>
          <t>See FAQ for related information.</t>
        </r>
      </text>
    </comment>
    <comment ref="A48" authorId="0">
      <text>
        <r>
          <rPr>
            <b/>
            <sz val="8"/>
            <color indexed="81"/>
            <rFont val="Tahoma"/>
            <family val="2"/>
          </rPr>
          <t xml:space="preserve">
Electrical labor refers to all electrical work (on turbine connections and wiring, underground wiring, and all other electrical related equipment) except that related to HV substation/interconnection, accounted for separately. </t>
        </r>
        <r>
          <rPr>
            <sz val="8"/>
            <color indexed="81"/>
            <rFont val="Tahoma"/>
            <family val="2"/>
          </rPr>
          <t xml:space="preserve">
</t>
        </r>
      </text>
    </comment>
    <comment ref="A50" authorId="0">
      <text>
        <r>
          <rPr>
            <b/>
            <sz val="8"/>
            <color indexed="81"/>
            <rFont val="Tahoma"/>
            <family val="2"/>
          </rPr>
          <t xml:space="preserve">
Miscellaneous labor costs include additional worker allowances for housing, food and other living expenses, and other labor  related costs. </t>
        </r>
        <r>
          <rPr>
            <sz val="8"/>
            <color indexed="81"/>
            <rFont val="Tahoma"/>
            <family val="2"/>
          </rPr>
          <t xml:space="preserve">
</t>
        </r>
      </text>
    </comment>
    <comment ref="A54" authorId="0">
      <text>
        <r>
          <rPr>
            <b/>
            <sz val="8"/>
            <color indexed="81"/>
            <rFont val="Tahoma"/>
            <family val="2"/>
          </rPr>
          <t xml:space="preserve">
HV Substation/Interconnect materials includes all associated materials and equipment (except transformer - accounted for in materials elsewhere).</t>
        </r>
        <r>
          <rPr>
            <sz val="8"/>
            <color indexed="81"/>
            <rFont val="Tahoma"/>
            <family val="2"/>
          </rPr>
          <t xml:space="preserve">
</t>
        </r>
      </text>
    </comment>
    <comment ref="A55" authorId="0">
      <text>
        <r>
          <rPr>
            <b/>
            <sz val="8"/>
            <color indexed="81"/>
            <rFont val="Tahoma"/>
            <family val="2"/>
          </rPr>
          <t xml:space="preserve">
HV Substation/Interconnect labor includes all associated electrical labor as well as engineering and design costs.</t>
        </r>
        <r>
          <rPr>
            <sz val="8"/>
            <color indexed="81"/>
            <rFont val="Tahoma"/>
            <family val="2"/>
          </rPr>
          <t xml:space="preserve">
</t>
        </r>
      </text>
    </comment>
    <comment ref="A58" authorId="0">
      <text>
        <r>
          <rPr>
            <b/>
            <sz val="8"/>
            <color indexed="81"/>
            <rFont val="Tahoma"/>
            <family val="2"/>
          </rPr>
          <t xml:space="preserve">
Land easement refers to payments made to land owner to secure the site before and/or during the construction period.  Due to the large variation in land easement arrangements, this calculation  does not include costs for land easement.</t>
        </r>
      </text>
    </comment>
    <comment ref="D65" authorId="0">
      <text>
        <r>
          <rPr>
            <b/>
            <sz val="8"/>
            <color indexed="81"/>
            <rFont val="Tahoma"/>
            <family val="2"/>
          </rPr>
          <t xml:space="preserve">
For purposes of calculating the O&amp;M percentages for each expenditure, the Total Cost does not include costs for land easement.  These costs (noted below) are however included in the impact analysis.</t>
        </r>
      </text>
    </comment>
    <comment ref="E66" authorId="0">
      <text>
        <r>
          <rPr>
            <b/>
            <sz val="8"/>
            <color indexed="81"/>
            <rFont val="Tahoma"/>
            <family val="2"/>
          </rPr>
          <t xml:space="preserve">
Local Share is the percentage of expenditure spent in the state or local region where the plant is constructed.</t>
        </r>
      </text>
    </comment>
    <comment ref="A68" authorId="0">
      <text>
        <r>
          <rPr>
            <sz val="8"/>
            <color indexed="81"/>
            <rFont val="Tahoma"/>
            <family val="2"/>
          </rPr>
          <t xml:space="preserve">
</t>
        </r>
        <r>
          <rPr>
            <b/>
            <sz val="8"/>
            <color indexed="81"/>
            <rFont val="Tahoma"/>
            <family val="2"/>
          </rPr>
          <t xml:space="preserve">Personnel Costs include hourly wages plus employer paid costs such as health benefits, workers compensation, disability insurance, and social security, among others. 
</t>
        </r>
        <r>
          <rPr>
            <b/>
            <sz val="8"/>
            <color indexed="10"/>
            <rFont val="Tahoma"/>
            <family val="2"/>
          </rPr>
          <t>**If revising labor costs, please note: Labor costs (entered in these cells) are associated with per hour O&amp;M wage rates and employer payroll overhead (entered below).  Therefore, user changes to labor costs must be accompanied by changes in hourly wage rates and employer payroll overhead costs or changes will adversely impact (increase or decrease) the total number of construction workers reported (calculated) in the results.  See FAQ for related information.</t>
        </r>
      </text>
    </comment>
    <comment ref="A83" authorId="0">
      <text>
        <r>
          <rPr>
            <sz val="8"/>
            <color indexed="81"/>
            <rFont val="Tahoma"/>
            <family val="2"/>
          </rPr>
          <t xml:space="preserve">
</t>
        </r>
        <r>
          <rPr>
            <b/>
            <sz val="8"/>
            <color indexed="81"/>
            <rFont val="Tahoma"/>
            <family val="2"/>
          </rPr>
          <t>Annual Operations and Maintenance Cost does not include costs associated with debt or equity payments, land easement, or taxes.</t>
        </r>
        <r>
          <rPr>
            <sz val="8"/>
            <color indexed="81"/>
            <rFont val="Tahoma"/>
            <family val="2"/>
          </rPr>
          <t xml:space="preserve">
</t>
        </r>
      </text>
    </comment>
    <comment ref="E86" authorId="0">
      <text>
        <r>
          <rPr>
            <b/>
            <sz val="8"/>
            <color indexed="81"/>
            <rFont val="Tahoma"/>
            <family val="2"/>
          </rPr>
          <t xml:space="preserve">
Local Share is the percentage of expenditure spent in the state or local region where the plant is constructed.</t>
        </r>
      </text>
    </comment>
    <comment ref="A88" authorId="0">
      <text>
        <r>
          <rPr>
            <b/>
            <sz val="8"/>
            <color indexed="81"/>
            <rFont val="Tahoma"/>
            <family val="2"/>
          </rPr>
          <t xml:space="preserve">
Percentage financed is the share of project construction cost financed through a loan.
</t>
        </r>
      </text>
    </comment>
    <comment ref="A89" authorId="0">
      <text>
        <r>
          <rPr>
            <b/>
            <sz val="8"/>
            <color indexed="81"/>
            <rFont val="Tahoma"/>
            <family val="2"/>
          </rPr>
          <t xml:space="preserve">
Years financed is the number of years required to payback the amount borrowed (initial loan amount).</t>
        </r>
      </text>
    </comment>
    <comment ref="A90" authorId="0">
      <text>
        <r>
          <rPr>
            <b/>
            <sz val="8"/>
            <color indexed="81"/>
            <rFont val="Tahoma"/>
            <family val="2"/>
          </rPr>
          <t xml:space="preserve">
Interest rate refers to the annual rate charged by the lender. (Example: 10 = 10%)</t>
        </r>
      </text>
    </comment>
    <comment ref="A92" authorId="0">
      <text>
        <r>
          <rPr>
            <b/>
            <sz val="8"/>
            <color indexed="81"/>
            <rFont val="Tahoma"/>
            <family val="2"/>
          </rPr>
          <t xml:space="preserve">
This percentage is the share of project construction cost (after accounting for the share from debt financing) secured through investment by individuals and/or corporate investors.
</t>
        </r>
      </text>
    </comment>
    <comment ref="A93" authorId="0">
      <text>
        <r>
          <rPr>
            <b/>
            <sz val="8"/>
            <color indexed="81"/>
            <rFont val="Tahoma"/>
            <family val="2"/>
          </rPr>
          <t xml:space="preserve">
Individual Investors refers to households that provide resources (invest) towards equity in the project, rather than direct loans for debt financing.
</t>
        </r>
      </text>
    </comment>
    <comment ref="A94" authorId="0">
      <text>
        <r>
          <rPr>
            <b/>
            <sz val="8"/>
            <color indexed="81"/>
            <rFont val="Tahoma"/>
            <family val="2"/>
          </rPr>
          <t xml:space="preserve">
Corporate Investors refers to businesses that provide equity investment.  This calculation is automatically derived from the percentage entered in Individual (above) - the sum of the two equals 100 percent.</t>
        </r>
      </text>
    </comment>
    <comment ref="A102" authorId="1">
      <text>
        <r>
          <rPr>
            <b/>
            <sz val="8"/>
            <color indexed="81"/>
            <rFont val="Tahoma"/>
            <family val="2"/>
          </rPr>
          <t>If Taxes Per MW are entered by user, Local Property/Other Tax Rate (cell B98) must be set to "na" (without quotes) to incorporate the user set Taxes Per MW value in the calculation.</t>
        </r>
      </text>
    </comment>
    <comment ref="A103" authorId="1">
      <text>
        <r>
          <rPr>
            <b/>
            <sz val="8"/>
            <color indexed="81"/>
            <rFont val="Tahoma"/>
            <family val="2"/>
          </rPr>
          <t xml:space="preserve"> 
Automatically calculated from per MW tax rate (if available), from tax parameters entered above, or local tax value entered by user.</t>
        </r>
      </text>
    </comment>
    <comment ref="B107" authorId="0">
      <text>
        <r>
          <rPr>
            <b/>
            <sz val="8"/>
            <color indexed="81"/>
            <rFont val="Tahoma"/>
            <family val="2"/>
          </rPr>
          <t xml:space="preserve">
Entry required if cost is calculated  using a method other than the lease cost per turbine (above) times the number of turbines (above). </t>
        </r>
      </text>
    </comment>
    <comment ref="B110" authorId="0">
      <text>
        <r>
          <rPr>
            <sz val="8"/>
            <color indexed="81"/>
            <rFont val="Tahoma"/>
            <family val="2"/>
          </rPr>
          <t xml:space="preserve">
</t>
        </r>
        <r>
          <rPr>
            <b/>
            <sz val="8"/>
            <color indexed="81"/>
            <rFont val="Tahoma"/>
            <family val="2"/>
          </rPr>
          <t xml:space="preserve">Wage per hour is the average base wage only; it does not include employer payroll overhead, which are based on the percentages of wages noted.
</t>
        </r>
        <r>
          <rPr>
            <b/>
            <sz val="8"/>
            <color indexed="10"/>
            <rFont val="Tahoma"/>
            <family val="2"/>
          </rPr>
          <t>**If revising wages per hour, please note: wage rates (entered in these cells) are associated with consruction labor personnel costs (entered above) and employer payroll overhead (entered to the right).  Therefore, user changes to wage rates must be accompanied by changes in labor costs (and potentially employer payroll overhead costs) or changes will adversely impact (increase or decrease) the total number of construction workers reported (calculated) in the results.  See FAQ for related information.</t>
        </r>
        <r>
          <rPr>
            <sz val="8"/>
            <color indexed="81"/>
            <rFont val="Tahoma"/>
            <family val="2"/>
          </rPr>
          <t xml:space="preserve">
</t>
        </r>
      </text>
    </comment>
    <comment ref="D110" authorId="0">
      <text>
        <r>
          <rPr>
            <sz val="8"/>
            <color indexed="81"/>
            <rFont val="Tahoma"/>
            <family val="2"/>
          </rPr>
          <t xml:space="preserve">
</t>
        </r>
        <r>
          <rPr>
            <b/>
            <sz val="8"/>
            <color indexed="81"/>
            <rFont val="Tahoma"/>
            <family val="2"/>
          </rPr>
          <t xml:space="preserve">Employer payroll overhead refers to the additional percentage of wages employers spend to pay for employee health benefits, workers compensation, disability insurance, and social security, among others. 
</t>
        </r>
        <r>
          <rPr>
            <b/>
            <sz val="8"/>
            <color indexed="10"/>
            <rFont val="Tahoma"/>
            <family val="2"/>
          </rPr>
          <t>**If revising employer payroll overhead, please note: overhead rates (entered in these cells) are associated with consruction labor personnel costs (entered above) and wages per hour (entered to the left).  Therefore, user changes to overhead rates must be accompanied by changes in labor costs and wages per hour or changes will adversely impact (increase or decrease) the total number of construction workers reported (calculated) in the results.  See FAQ for related information.</t>
        </r>
        <r>
          <rPr>
            <b/>
            <sz val="8"/>
            <color indexed="81"/>
            <rFont val="Tahoma"/>
            <family val="2"/>
          </rPr>
          <t xml:space="preserve">
</t>
        </r>
      </text>
    </comment>
    <comment ref="B115" authorId="0">
      <text>
        <r>
          <rPr>
            <sz val="8"/>
            <color indexed="81"/>
            <rFont val="Tahoma"/>
            <family val="2"/>
          </rPr>
          <t xml:space="preserve">
</t>
        </r>
        <r>
          <rPr>
            <b/>
            <sz val="8"/>
            <color indexed="81"/>
            <rFont val="Tahoma"/>
            <family val="2"/>
          </rPr>
          <t>Wage per hour is the average base wage only; does not include employer payroll costs, which are automatically included in the impact analysis.</t>
        </r>
        <r>
          <rPr>
            <sz val="8"/>
            <color indexed="81"/>
            <rFont val="Tahoma"/>
            <family val="2"/>
          </rPr>
          <t xml:space="preserve">
</t>
        </r>
        <r>
          <rPr>
            <b/>
            <sz val="8"/>
            <color indexed="10"/>
            <rFont val="Tahoma"/>
            <family val="2"/>
          </rPr>
          <t xml:space="preserve">**If revising Wage rates, please note: Wage rates (entered in these cells) are associated with O&amp;M labor personnel costs (entered above).  Therefore, user changes to O&amp;M laobr personnel costs and/or hourly labor rates and employer payroll costs will impact (increase or decrease) the total number of O&amp;M employees reported (calculated) in the results. </t>
        </r>
      </text>
    </comment>
    <comment ref="D115" authorId="0">
      <text>
        <r>
          <rPr>
            <sz val="8"/>
            <color indexed="81"/>
            <rFont val="Tahoma"/>
            <family val="2"/>
          </rPr>
          <t xml:space="preserve">
</t>
        </r>
        <r>
          <rPr>
            <b/>
            <sz val="8"/>
            <color indexed="81"/>
            <rFont val="Tahoma"/>
            <family val="2"/>
          </rPr>
          <t xml:space="preserve">Employer payroll overhead refers to the additional percentage of wages employers spend to pay for employee health benefits, workers compensation, disability insurance, and social security, among others. 
</t>
        </r>
        <r>
          <rPr>
            <b/>
            <sz val="8"/>
            <color indexed="10"/>
            <rFont val="Tahoma"/>
            <family val="2"/>
          </rPr>
          <t>**If revising employer payroll overhead, please note: overhead rates (entered in these cells) are associated with O&amp;M labor personnel costs (entered above) and wages per hour (entered to the left).  Therefore, user changes to overhead rates must be accompanied by changes in labor costs and wages per hour or changes will adversely impact (increase or decrease) the total number of construction workers reported (calculated) in the results.  See FAQ for related information.</t>
        </r>
        <r>
          <rPr>
            <b/>
            <sz val="8"/>
            <color indexed="81"/>
            <rFont val="Tahoma"/>
            <family val="2"/>
          </rPr>
          <t xml:space="preserve">
</t>
        </r>
      </text>
    </comment>
    <comment ref="A119" authorId="0">
      <text>
        <r>
          <rPr>
            <b/>
            <sz val="8"/>
            <color indexed="10"/>
            <rFont val="Tahoma"/>
            <family val="2"/>
          </rPr>
          <t xml:space="preserve">
**If revising Wage rates, please note: Wage rates (entered in these cells) are associated with O&amp;M personnel costs (entered above).  Therefore, user changes to O&amp;M personnel costs and/or hourly labor rates and employer payroll costs will impact (increase or decrease) the total number of O&amp;M employees reported (calculated) in the results. </t>
        </r>
        <r>
          <rPr>
            <sz val="8"/>
            <color indexed="81"/>
            <rFont val="Tahoma"/>
            <family val="2"/>
          </rPr>
          <t xml:space="preserve">
</t>
        </r>
      </text>
    </comment>
  </commentList>
</comments>
</file>

<file path=xl/comments3.xml><?xml version="1.0" encoding="utf-8"?>
<comments xmlns="http://schemas.openxmlformats.org/spreadsheetml/2006/main">
  <authors>
    <author>Marshall Goldberg</author>
    <author xml:space="preserve"> </author>
  </authors>
  <commentList>
    <comment ref="A13" authorId="0">
      <text>
        <r>
          <rPr>
            <b/>
            <sz val="8"/>
            <color indexed="81"/>
            <rFont val="Tahoma"/>
            <family val="2"/>
          </rPr>
          <t xml:space="preserve">
Project location is state name (or other user add-in location - MyCounty or MyRegion) where wind plant is constructed. 
</t>
        </r>
        <r>
          <rPr>
            <b/>
            <sz val="8"/>
            <color indexed="10"/>
            <rFont val="Tahoma"/>
            <family val="2"/>
          </rPr>
          <t>(Entry required -choose from pull-down list)</t>
        </r>
      </text>
    </comment>
    <comment ref="A14" authorId="1">
      <text>
        <r>
          <rPr>
            <b/>
            <sz val="8"/>
            <color indexed="81"/>
            <rFont val="Tahoma"/>
            <family val="2"/>
          </rPr>
          <t xml:space="preserve"> 
If running a county or regional analysis: area population is required to incorporate appropriate default values for local shares.</t>
        </r>
      </text>
    </comment>
    <comment ref="A15" authorId="0">
      <text>
        <r>
          <rPr>
            <b/>
            <sz val="8"/>
            <color indexed="81"/>
            <rFont val="Tahoma"/>
            <family val="2"/>
          </rPr>
          <t xml:space="preserve">
Year of construction is year in which construction occurs - not to exceed 2030. </t>
        </r>
        <r>
          <rPr>
            <b/>
            <sz val="8"/>
            <color indexed="10"/>
            <rFont val="Tahoma"/>
            <family val="2"/>
          </rPr>
          <t>(Entry required)</t>
        </r>
      </text>
    </comment>
    <comment ref="A16" authorId="0">
      <text>
        <r>
          <rPr>
            <b/>
            <sz val="8"/>
            <color indexed="81"/>
            <rFont val="Tahoma"/>
            <family val="2"/>
          </rPr>
          <t xml:space="preserve">
Project size is number of megawatts (MW) - 1 MW = 1 thousand kilowatts (KW).  (Entry required)
</t>
        </r>
        <r>
          <rPr>
            <b/>
            <sz val="8"/>
            <color indexed="10"/>
            <rFont val="Tahoma"/>
            <family val="2"/>
          </rPr>
          <t xml:space="preserve">Due to economies of scale for larger projects, it is recommended Users analyze projects individually rather than grouping them together as one project. </t>
        </r>
      </text>
    </comment>
    <comment ref="A19" authorId="0">
      <text>
        <r>
          <rPr>
            <b/>
            <sz val="8"/>
            <color indexed="81"/>
            <rFont val="Tahoma"/>
            <family val="2"/>
          </rPr>
          <t xml:space="preserve">
The number of Turbines is automatically calculated by dividing the project size (MW * 1000) by the turbine size (KW).</t>
        </r>
      </text>
    </comment>
    <comment ref="A20" authorId="1">
      <text>
        <r>
          <rPr>
            <b/>
            <sz val="8"/>
            <color indexed="81"/>
            <rFont val="Tahoma"/>
            <family val="2"/>
          </rPr>
          <t xml:space="preserve"> 
Default installed cost is based on national average costs (i.e., construction cost) adjusted for geographic differences in construction labor costs.  This value is automatically entered unless changed by user.  Installed cost does not include land easement or interest payments during construction period.</t>
        </r>
      </text>
    </comment>
    <comment ref="A21" authorId="0">
      <text>
        <r>
          <rPr>
            <b/>
            <sz val="8"/>
            <color indexed="81"/>
            <rFont val="Tahoma"/>
            <family val="2"/>
          </rPr>
          <t xml:space="preserve">
Default Annual Operations and Maintenance Cost is based on national average costs for the respective size wind farm.  The cost is automatically entered unless revised by user.  The cost includes all operating and maintenance costs except costs associated with debt or equity financing, land easement, or taxes (these values are included elsewhere).</t>
        </r>
      </text>
    </comment>
    <comment ref="A22" authorId="0">
      <text>
        <r>
          <rPr>
            <b/>
            <sz val="8"/>
            <color indexed="81"/>
            <rFont val="Tahoma"/>
            <family val="2"/>
          </rPr>
          <t xml:space="preserve">
Money value refers to the time value of money - accounting for inflationary influences over time.  
"Current" implies dollar values are the same year as construction (e.g., enter 2004 for construction in 2004).  
"Constant" implies dollar values are for a year other than the year  construction occurs (e.g., enter 1999 for construction in 2004 with cost estimates in 1999 dollar values).</t>
        </r>
      </text>
    </comment>
    <comment ref="A24" authorId="0">
      <text>
        <r>
          <rPr>
            <b/>
            <sz val="8"/>
            <color indexed="81"/>
            <rFont val="Tahoma"/>
            <family val="2"/>
          </rPr>
          <t xml:space="preserve">
Choose "Y" to run analysis using System Description Data (entered above) and default System Cost Data (automatically entered below).
Choose "N" to run analysis using System Descriptive Data (entered above) with user modified System Cost Data (entered below) .</t>
        </r>
        <r>
          <rPr>
            <b/>
            <sz val="8"/>
            <color indexed="10"/>
            <rFont val="Tahoma"/>
            <family val="2"/>
          </rPr>
          <t xml:space="preserve">  User defined cost data will not be incorporated in the analysis if an "N" is not chosen here.
                               (Entry Required) </t>
        </r>
        <r>
          <rPr>
            <b/>
            <sz val="8"/>
            <color indexed="81"/>
            <rFont val="Tahoma"/>
            <family val="2"/>
          </rPr>
          <t xml:space="preserve">
</t>
        </r>
      </text>
    </comment>
    <comment ref="E31" authorId="0">
      <text>
        <r>
          <rPr>
            <b/>
            <sz val="8"/>
            <color indexed="81"/>
            <rFont val="Tahoma"/>
            <family val="2"/>
          </rPr>
          <t xml:space="preserve">
Local Share is the percentage of expenditure spent in the state or local region where the plant is constructed.</t>
        </r>
      </text>
    </comment>
    <comment ref="A45" authorId="0">
      <text>
        <r>
          <rPr>
            <b/>
            <sz val="8"/>
            <color indexed="81"/>
            <rFont val="Tahoma"/>
            <family val="2"/>
          </rPr>
          <t xml:space="preserve">
Labor Costs include hourly wages plus employer paid costs such as health benefits, workers compensation, disability insurance, and social security, among others.
</t>
        </r>
        <r>
          <rPr>
            <b/>
            <sz val="8"/>
            <color indexed="10"/>
            <rFont val="Tahoma"/>
            <family val="2"/>
          </rPr>
          <t>**If revising labor costs, please note:</t>
        </r>
        <r>
          <rPr>
            <b/>
            <sz val="8"/>
            <color indexed="81"/>
            <rFont val="Tahoma"/>
            <family val="2"/>
          </rPr>
          <t xml:space="preserve"> </t>
        </r>
        <r>
          <rPr>
            <b/>
            <sz val="8"/>
            <color indexed="10"/>
            <rFont val="Tahoma"/>
            <family val="2"/>
          </rPr>
          <t xml:space="preserve">Labor costs (entered in these cells) are associated with per hour construction wage rates (entered below).  Therefore, user changes to labor costs must be accompanied by changes in hourly wage rates and overhead costs or changes will adversely impact (increase or decrease) the total number of construction workers reported (calculated) in the results.  </t>
        </r>
        <r>
          <rPr>
            <b/>
            <i/>
            <sz val="8"/>
            <color indexed="10"/>
            <rFont val="Tahoma"/>
            <family val="2"/>
          </rPr>
          <t>See FAQ for related information.</t>
        </r>
      </text>
    </comment>
    <comment ref="A48" authorId="0">
      <text>
        <r>
          <rPr>
            <b/>
            <sz val="8"/>
            <color indexed="81"/>
            <rFont val="Tahoma"/>
            <family val="2"/>
          </rPr>
          <t xml:space="preserve">
Electrical labor refers to all electrical work (on turbine connections and wiring, underground wiring, and all other electrical related equipment) except that related to HV substation/interconnection, accounted for separately. </t>
        </r>
        <r>
          <rPr>
            <sz val="8"/>
            <color indexed="81"/>
            <rFont val="Tahoma"/>
            <family val="2"/>
          </rPr>
          <t xml:space="preserve">
</t>
        </r>
      </text>
    </comment>
    <comment ref="A50" authorId="0">
      <text>
        <r>
          <rPr>
            <b/>
            <sz val="8"/>
            <color indexed="81"/>
            <rFont val="Tahoma"/>
            <family val="2"/>
          </rPr>
          <t xml:space="preserve">
Miscellaneous labor costs include additional worker allowances for housing, food and other living expenses, and other labor  related costs. </t>
        </r>
        <r>
          <rPr>
            <sz val="8"/>
            <color indexed="81"/>
            <rFont val="Tahoma"/>
            <family val="2"/>
          </rPr>
          <t xml:space="preserve">
</t>
        </r>
      </text>
    </comment>
    <comment ref="A54" authorId="0">
      <text>
        <r>
          <rPr>
            <b/>
            <sz val="8"/>
            <color indexed="81"/>
            <rFont val="Tahoma"/>
            <family val="2"/>
          </rPr>
          <t xml:space="preserve">
HV Substation/Interconnect materials includes all associated materials and equipment (except transformer - accounted for in materials elsewhere).</t>
        </r>
        <r>
          <rPr>
            <sz val="8"/>
            <color indexed="81"/>
            <rFont val="Tahoma"/>
            <family val="2"/>
          </rPr>
          <t xml:space="preserve">
</t>
        </r>
      </text>
    </comment>
    <comment ref="A55" authorId="0">
      <text>
        <r>
          <rPr>
            <b/>
            <sz val="8"/>
            <color indexed="81"/>
            <rFont val="Tahoma"/>
            <family val="2"/>
          </rPr>
          <t xml:space="preserve">
HV Substation/Interconnect labor includes all associated electrical labor as well as engineering and design costs.</t>
        </r>
        <r>
          <rPr>
            <sz val="8"/>
            <color indexed="81"/>
            <rFont val="Tahoma"/>
            <family val="2"/>
          </rPr>
          <t xml:space="preserve">
</t>
        </r>
      </text>
    </comment>
    <comment ref="A58" authorId="0">
      <text>
        <r>
          <rPr>
            <b/>
            <sz val="8"/>
            <color indexed="81"/>
            <rFont val="Tahoma"/>
            <family val="2"/>
          </rPr>
          <t xml:space="preserve">
Land easement refers to payments made to land owner to secure the site before and/or during the construction period.  Due to the large variation in land easement arrangements, this calculation  does not include costs for land easement.</t>
        </r>
      </text>
    </comment>
    <comment ref="D65" authorId="0">
      <text>
        <r>
          <rPr>
            <b/>
            <sz val="8"/>
            <color indexed="81"/>
            <rFont val="Tahoma"/>
            <family val="2"/>
          </rPr>
          <t xml:space="preserve">
For purposes of calculating the O&amp;M percentages for each expenditure, the Total Cost does not include costs for land easement.  These costs (noted below) are however included in the impact analysis.</t>
        </r>
      </text>
    </comment>
    <comment ref="E66" authorId="0">
      <text>
        <r>
          <rPr>
            <b/>
            <sz val="8"/>
            <color indexed="81"/>
            <rFont val="Tahoma"/>
            <family val="2"/>
          </rPr>
          <t xml:space="preserve">
Local Share is the percentage of expenditure spent in the state or local region where the plant is constructed.</t>
        </r>
      </text>
    </comment>
    <comment ref="A68" authorId="0">
      <text>
        <r>
          <rPr>
            <sz val="8"/>
            <color indexed="81"/>
            <rFont val="Tahoma"/>
            <family val="2"/>
          </rPr>
          <t xml:space="preserve">
</t>
        </r>
        <r>
          <rPr>
            <b/>
            <sz val="8"/>
            <color indexed="81"/>
            <rFont val="Tahoma"/>
            <family val="2"/>
          </rPr>
          <t xml:space="preserve">Personnel Costs include hourly wages plus employer paid costs such as health benefits, workers compensation, disability insurance, and social security, among others. 
</t>
        </r>
        <r>
          <rPr>
            <b/>
            <sz val="8"/>
            <color indexed="10"/>
            <rFont val="Tahoma"/>
            <family val="2"/>
          </rPr>
          <t>**If revising labor costs, please note: Labor costs (entered in these cells) are associated with per hour O&amp;M wage rates and employer payroll overhead (entered below).  Therefore, user changes to labor costs must be accompanied by changes in hourly wage rates and employer payroll overhead costs or changes will adversely impact (increase or decrease) the total number of construction workers reported (calculated) in the results.  See FAQ for related information.</t>
        </r>
      </text>
    </comment>
    <comment ref="A83" authorId="0">
      <text>
        <r>
          <rPr>
            <sz val="8"/>
            <color indexed="81"/>
            <rFont val="Tahoma"/>
            <family val="2"/>
          </rPr>
          <t xml:space="preserve">
</t>
        </r>
        <r>
          <rPr>
            <b/>
            <sz val="8"/>
            <color indexed="81"/>
            <rFont val="Tahoma"/>
            <family val="2"/>
          </rPr>
          <t>Annual Operations and Maintenance Cost does not include costs associated with debt or equity payments, land easement, or taxes.</t>
        </r>
        <r>
          <rPr>
            <sz val="8"/>
            <color indexed="81"/>
            <rFont val="Tahoma"/>
            <family val="2"/>
          </rPr>
          <t xml:space="preserve">
</t>
        </r>
      </text>
    </comment>
    <comment ref="E86" authorId="0">
      <text>
        <r>
          <rPr>
            <b/>
            <sz val="8"/>
            <color indexed="81"/>
            <rFont val="Tahoma"/>
            <family val="2"/>
          </rPr>
          <t xml:space="preserve">
Local Share is the percentage of expenditure spent in the state or local region where the plant is constructed.</t>
        </r>
      </text>
    </comment>
    <comment ref="A88" authorId="0">
      <text>
        <r>
          <rPr>
            <b/>
            <sz val="8"/>
            <color indexed="81"/>
            <rFont val="Tahoma"/>
            <family val="2"/>
          </rPr>
          <t xml:space="preserve">
Percentage financed is the share of project construction cost financed through a loan.
</t>
        </r>
      </text>
    </comment>
    <comment ref="A89" authorId="0">
      <text>
        <r>
          <rPr>
            <b/>
            <sz val="8"/>
            <color indexed="81"/>
            <rFont val="Tahoma"/>
            <family val="2"/>
          </rPr>
          <t xml:space="preserve">
Years financed is the number of years required to payback the amount borrowed (initial loan amount).</t>
        </r>
      </text>
    </comment>
    <comment ref="A90" authorId="0">
      <text>
        <r>
          <rPr>
            <b/>
            <sz val="8"/>
            <color indexed="81"/>
            <rFont val="Tahoma"/>
            <family val="2"/>
          </rPr>
          <t xml:space="preserve">
Interest rate refers to the annual rate charged by the lender. (Example: 10 = 10%)</t>
        </r>
      </text>
    </comment>
    <comment ref="A92" authorId="0">
      <text>
        <r>
          <rPr>
            <b/>
            <sz val="8"/>
            <color indexed="81"/>
            <rFont val="Tahoma"/>
            <family val="2"/>
          </rPr>
          <t xml:space="preserve">
This percentage is the share of project construction cost (after accounting for the share from debt financing) secured through investment by individuals and/or corporate investors.
</t>
        </r>
      </text>
    </comment>
    <comment ref="A93" authorId="0">
      <text>
        <r>
          <rPr>
            <b/>
            <sz val="8"/>
            <color indexed="81"/>
            <rFont val="Tahoma"/>
            <family val="2"/>
          </rPr>
          <t xml:space="preserve">
Individual Investors refers to households that provide resources (invest) towards equity in the project, rather than direct loans for debt financing.
</t>
        </r>
      </text>
    </comment>
    <comment ref="A94" authorId="0">
      <text>
        <r>
          <rPr>
            <b/>
            <sz val="8"/>
            <color indexed="81"/>
            <rFont val="Tahoma"/>
            <family val="2"/>
          </rPr>
          <t xml:space="preserve">
Corporate Investors refers to businesses that provide equity investment.  This calculation is automatically derived from the percentage entered in Individual (above) - the sum of the two equals 100 percent.</t>
        </r>
      </text>
    </comment>
    <comment ref="A102" authorId="1">
      <text>
        <r>
          <rPr>
            <b/>
            <sz val="8"/>
            <color indexed="81"/>
            <rFont val="Tahoma"/>
            <family val="2"/>
          </rPr>
          <t>If Taxes Per MW are entered by user, Local Property/Other Tax Rate (cell B98) must be set to "na" (without quotes) to incorporate the user set Taxes Per MW value in the calculation.</t>
        </r>
      </text>
    </comment>
    <comment ref="A103" authorId="1">
      <text>
        <r>
          <rPr>
            <b/>
            <sz val="8"/>
            <color indexed="81"/>
            <rFont val="Tahoma"/>
            <family val="2"/>
          </rPr>
          <t xml:space="preserve"> 
Automatically calculated from per MW tax rate (if available), from tax parameters entered above, or local tax value entered by user.</t>
        </r>
      </text>
    </comment>
    <comment ref="B107" authorId="0">
      <text>
        <r>
          <rPr>
            <b/>
            <sz val="8"/>
            <color indexed="81"/>
            <rFont val="Tahoma"/>
            <family val="2"/>
          </rPr>
          <t xml:space="preserve">
Entry required if cost is calculated  using a method other than the lease cost per turbine (above) times the number of turbines (above). </t>
        </r>
      </text>
    </comment>
    <comment ref="B110" authorId="0">
      <text>
        <r>
          <rPr>
            <sz val="8"/>
            <color indexed="81"/>
            <rFont val="Tahoma"/>
            <family val="2"/>
          </rPr>
          <t xml:space="preserve">
</t>
        </r>
        <r>
          <rPr>
            <b/>
            <sz val="8"/>
            <color indexed="81"/>
            <rFont val="Tahoma"/>
            <family val="2"/>
          </rPr>
          <t xml:space="preserve">Wage per hour is the average base wage only; it does not include employer payroll overhead, which are based on the percentages of wages noted.
</t>
        </r>
        <r>
          <rPr>
            <b/>
            <sz val="8"/>
            <color indexed="10"/>
            <rFont val="Tahoma"/>
            <family val="2"/>
          </rPr>
          <t>**If revising wages per hour, please note: wage rates (entered in these cells) are associated with consruction labor personnel costs (entered above) and employer payroll overhead (entered to the right).  Therefore, user changes to wage rates must be accompanied by changes in labor costs (and potentially employer payroll overhead costs) or changes will adversely impact (increase or decrease) the total number of construction workers reported (calculated) in the results.  See FAQ for related information.</t>
        </r>
        <r>
          <rPr>
            <sz val="8"/>
            <color indexed="81"/>
            <rFont val="Tahoma"/>
            <family val="2"/>
          </rPr>
          <t xml:space="preserve">
</t>
        </r>
      </text>
    </comment>
    <comment ref="D110" authorId="0">
      <text>
        <r>
          <rPr>
            <sz val="8"/>
            <color indexed="81"/>
            <rFont val="Tahoma"/>
            <family val="2"/>
          </rPr>
          <t xml:space="preserve">
</t>
        </r>
        <r>
          <rPr>
            <b/>
            <sz val="8"/>
            <color indexed="81"/>
            <rFont val="Tahoma"/>
            <family val="2"/>
          </rPr>
          <t xml:space="preserve">Employer payroll overhead refers to the additional percentage of wages employers spend to pay for employee health benefits, workers compensation, disability insurance, and social security, among others. 
</t>
        </r>
        <r>
          <rPr>
            <b/>
            <sz val="8"/>
            <color indexed="10"/>
            <rFont val="Tahoma"/>
            <family val="2"/>
          </rPr>
          <t>**If revising employer payroll overhead, please note: overhead rates (entered in these cells) are associated with consruction labor personnel costs (entered above) and wages per hour (entered to the left).  Therefore, user changes to overhead rates must be accompanied by changes in labor costs and wages per hour or changes will adversely impact (increase or decrease) the total number of construction workers reported (calculated) in the results.  See FAQ for related information.</t>
        </r>
        <r>
          <rPr>
            <b/>
            <sz val="8"/>
            <color indexed="81"/>
            <rFont val="Tahoma"/>
            <family val="2"/>
          </rPr>
          <t xml:space="preserve">
</t>
        </r>
      </text>
    </comment>
    <comment ref="B115" authorId="0">
      <text>
        <r>
          <rPr>
            <sz val="8"/>
            <color indexed="81"/>
            <rFont val="Tahoma"/>
            <family val="2"/>
          </rPr>
          <t xml:space="preserve">
</t>
        </r>
        <r>
          <rPr>
            <b/>
            <sz val="8"/>
            <color indexed="81"/>
            <rFont val="Tahoma"/>
            <family val="2"/>
          </rPr>
          <t>Wage per hour is the average base wage only; does not include employer payroll costs, which are automatically included in the impact analysis.</t>
        </r>
        <r>
          <rPr>
            <sz val="8"/>
            <color indexed="81"/>
            <rFont val="Tahoma"/>
            <family val="2"/>
          </rPr>
          <t xml:space="preserve">
</t>
        </r>
        <r>
          <rPr>
            <b/>
            <sz val="8"/>
            <color indexed="10"/>
            <rFont val="Tahoma"/>
            <family val="2"/>
          </rPr>
          <t xml:space="preserve">**If revising Wage rates, please note: Wage rates (entered in these cells) are associated with O&amp;M labor personnel costs (entered above).  Therefore, user changes to O&amp;M laobr personnel costs and/or hourly labor rates and employer payroll costs will impact (increase or decrease) the total number of O&amp;M employees reported (calculated) in the results. </t>
        </r>
      </text>
    </comment>
    <comment ref="D115" authorId="0">
      <text>
        <r>
          <rPr>
            <sz val="8"/>
            <color indexed="81"/>
            <rFont val="Tahoma"/>
            <family val="2"/>
          </rPr>
          <t xml:space="preserve">
</t>
        </r>
        <r>
          <rPr>
            <b/>
            <sz val="8"/>
            <color indexed="81"/>
            <rFont val="Tahoma"/>
            <family val="2"/>
          </rPr>
          <t xml:space="preserve">Employer payroll overhead refers to the additional percentage of wages employers spend to pay for employee health benefits, workers compensation, disability insurance, and social security, among others. 
</t>
        </r>
        <r>
          <rPr>
            <b/>
            <sz val="8"/>
            <color indexed="10"/>
            <rFont val="Tahoma"/>
            <family val="2"/>
          </rPr>
          <t>**If revising employer payroll overhead, please note: overhead rates (entered in these cells) are associated with O&amp;M labor personnel costs (entered above) and wages per hour (entered to the left).  Therefore, user changes to overhead rates must be accompanied by changes in labor costs and wages per hour or changes will adversely impact (increase or decrease) the total number of construction workers reported (calculated) in the results.  See FAQ for related information.</t>
        </r>
        <r>
          <rPr>
            <b/>
            <sz val="8"/>
            <color indexed="81"/>
            <rFont val="Tahoma"/>
            <family val="2"/>
          </rPr>
          <t xml:space="preserve">
</t>
        </r>
      </text>
    </comment>
    <comment ref="A119" authorId="0">
      <text>
        <r>
          <rPr>
            <b/>
            <sz val="8"/>
            <color indexed="10"/>
            <rFont val="Tahoma"/>
            <family val="2"/>
          </rPr>
          <t xml:space="preserve">
**If revising Wage rates, please note: Wage rates (entered in these cells) are associated with O&amp;M personnel costs (entered above).  Therefore, user changes to O&amp;M personnel costs and/or hourly labor rates and employer payroll costs will impact (increase or decrease) the total number of O&amp;M employees reported (calculated) in the results. </t>
        </r>
        <r>
          <rPr>
            <sz val="8"/>
            <color indexed="81"/>
            <rFont val="Tahoma"/>
            <family val="2"/>
          </rPr>
          <t xml:space="preserve">
</t>
        </r>
      </text>
    </comment>
  </commentList>
</comments>
</file>

<file path=xl/sharedStrings.xml><?xml version="1.0" encoding="utf-8"?>
<sst xmlns="http://schemas.openxmlformats.org/spreadsheetml/2006/main" count="1568" uniqueCount="673">
  <si>
    <t>Units</t>
  </si>
  <si>
    <t>Crude oil</t>
  </si>
  <si>
    <t>Hard coal</t>
  </si>
  <si>
    <t>Lignite</t>
  </si>
  <si>
    <t>Natural Gas</t>
  </si>
  <si>
    <t>kg</t>
  </si>
  <si>
    <t>Values</t>
  </si>
  <si>
    <t>Energy Inputs (Total)</t>
  </si>
  <si>
    <t>Energy Outputs</t>
  </si>
  <si>
    <t>kWh/yr</t>
  </si>
  <si>
    <t>lifetime</t>
  </si>
  <si>
    <t>yrs</t>
  </si>
  <si>
    <t>MJ</t>
  </si>
  <si>
    <t>number turbines</t>
  </si>
  <si>
    <t>num</t>
  </si>
  <si>
    <t>Material Energy Inputs (per turbine)</t>
  </si>
  <si>
    <t>Material Energy Inputs (transmission per farm)</t>
  </si>
  <si>
    <t>MJ/kWh</t>
  </si>
  <si>
    <t>Nuclear Power</t>
  </si>
  <si>
    <t>Fossil or Renewable</t>
  </si>
  <si>
    <t>Fossil</t>
  </si>
  <si>
    <t>Renewable</t>
  </si>
  <si>
    <t>Primary energy from Hydropower</t>
  </si>
  <si>
    <t>Primary energy from wind</t>
  </si>
  <si>
    <t>Renewable Fuels</t>
  </si>
  <si>
    <t>Total MJ/kWh (from summation, check)</t>
  </si>
  <si>
    <t>Total kWh/kWh produced (from check and 0.2777778 kWh/MJ)</t>
  </si>
  <si>
    <t>Total kWh produced/turbine in lifetime</t>
  </si>
  <si>
    <t>EROI (kWh/kWh)</t>
  </si>
  <si>
    <t>EROI (kWh/kWh), check</t>
  </si>
  <si>
    <t>Total Renewable Input (MJ)</t>
  </si>
  <si>
    <t>Total Fossil Input (MJ)</t>
  </si>
  <si>
    <t>Output (MJ_equiv)</t>
  </si>
  <si>
    <t>IRR</t>
  </si>
  <si>
    <t>Year</t>
  </si>
  <si>
    <t>Energy Flow (kWh)</t>
  </si>
  <si>
    <t>Sums</t>
  </si>
  <si>
    <t>Assumed LCOE</t>
  </si>
  <si>
    <t>$/MWh</t>
  </si>
  <si>
    <t>Electricity per turbine</t>
  </si>
  <si>
    <t>EROI</t>
  </si>
  <si>
    <t>Energy Consumption per Turbine (MJ/kWh produced)</t>
  </si>
  <si>
    <t>Total MJ/kWh per offshore turbine (from table)</t>
  </si>
  <si>
    <t>Total kWh/kWh produced per turbine (from Table)</t>
  </si>
  <si>
    <t>Total MJ consumed per turbine (using Table data)</t>
  </si>
  <si>
    <t>NPV of Energy Flow</t>
  </si>
  <si>
    <t>--</t>
  </si>
  <si>
    <t>Capacity factor</t>
  </si>
  <si>
    <t>%</t>
  </si>
  <si>
    <t>Market Price in $/kWh</t>
  </si>
  <si>
    <t>Mkt Value of Output</t>
  </si>
  <si>
    <t>Revenue - Operating Cost</t>
  </si>
  <si>
    <t>Ovearall Cash Flow, including Investment Cost</t>
  </si>
  <si>
    <t>Assumptions</t>
  </si>
  <si>
    <t>Electricity Mkt Price Escalator:</t>
  </si>
  <si>
    <t>Future Inflation:</t>
  </si>
  <si>
    <t>Discount Rate:</t>
  </si>
  <si>
    <t>Results</t>
  </si>
  <si>
    <t>Financial IRR:</t>
  </si>
  <si>
    <t>Net Present Value of future cash flows (after year 1):</t>
  </si>
  <si>
    <t>ROI (with no discounting of future rev. and cost):</t>
  </si>
  <si>
    <t>ROI (with discounting of future rev. and costs):</t>
  </si>
  <si>
    <t>Comparison of Energy Flows Based on Market Value of Energy Inputs and Outputs, rather than Heating Values</t>
  </si>
  <si>
    <t>The Values Below are From Previous Sheets</t>
  </si>
  <si>
    <t>Energy Consumption Related to Developing Facility</t>
  </si>
  <si>
    <t>Market Price in $/MillionBtu (1)</t>
  </si>
  <si>
    <t>(1) Source of Prices:  http://www.eia.doe.gov/emeu/states/hf.jsp?incfile=sep_sum/plain_html/sum_pr_ind.html</t>
  </si>
  <si>
    <t>Used for hard coal, natural gas, nuclear power (retail electric rate) and hydropower (retail electric rate).</t>
  </si>
  <si>
    <t>Lignite set to $2, given its lower value relative to coal.</t>
  </si>
  <si>
    <t>Crude oil price =  $75 per barrel / 5.8 Million Btu per barrel.</t>
  </si>
  <si>
    <t>To convert MJ values to Btu: 1 Btu = 1,055 J</t>
  </si>
  <si>
    <t>Financial Calculations Only Considering the Value of Energy Inputs and Outputs</t>
  </si>
  <si>
    <t>Energy in Development of Project</t>
  </si>
  <si>
    <t>Cumulative cash flow</t>
  </si>
  <si>
    <t>Turbines</t>
  </si>
  <si>
    <t>Turbine Output</t>
  </si>
  <si>
    <t>Employees</t>
  </si>
  <si>
    <t>Duration</t>
  </si>
  <si>
    <t>full production</t>
  </si>
  <si>
    <t>const.</t>
  </si>
  <si>
    <t>Land acquisition</t>
  </si>
  <si>
    <t>replace 20</t>
  </si>
  <si>
    <t>Startup</t>
  </si>
  <si>
    <t>Sales</t>
  </si>
  <si>
    <t>Cost</t>
  </si>
  <si>
    <t>MWh</t>
  </si>
  <si>
    <t>$</t>
  </si>
  <si>
    <t>Outputs</t>
  </si>
  <si>
    <t>Physical plant</t>
  </si>
  <si>
    <t>Transmission facilities</t>
  </si>
  <si>
    <t>Financial Outputs</t>
  </si>
  <si>
    <t>Scenario</t>
  </si>
  <si>
    <t>LCA</t>
  </si>
  <si>
    <t>TEA1</t>
  </si>
  <si>
    <t>TEA2</t>
  </si>
  <si>
    <t>TEA3</t>
  </si>
  <si>
    <t>ALL</t>
  </si>
  <si>
    <t>Constants</t>
  </si>
  <si>
    <t>Wh</t>
  </si>
  <si>
    <t>btu</t>
  </si>
  <si>
    <t>Mbtu</t>
  </si>
  <si>
    <t>Wind Farm Project Data</t>
  </si>
  <si>
    <t xml:space="preserve">INSTRUCTIONS:      Begin by entering Project Location (from pull-down list) and other Descriptive Data.  </t>
  </si>
  <si>
    <t xml:space="preserve">                               After inserting required data press enter (or cursor to the next cell) to continue.</t>
  </si>
  <si>
    <t xml:space="preserve">                               Once Descriptive Data is complete, choose "Y" or "N" on Line 24 to continue.</t>
  </si>
  <si>
    <t xml:space="preserve">                                    Choose "Y" to accept Project Cost and Local Share defaults or "N" to review/modify values.</t>
  </si>
  <si>
    <t xml:space="preserve">                                    To utilize new values in analysis you must choose an "N" in "Utilize Model Default Values (below)?" - Line 24</t>
  </si>
  <si>
    <r>
      <t xml:space="preserve">                               Additional information is available by pointing to the red triangles located in cell corners and in the </t>
    </r>
    <r>
      <rPr>
        <b/>
        <i/>
        <sz val="10"/>
        <rFont val="Arial"/>
        <family val="2"/>
      </rPr>
      <t>FAQ</t>
    </r>
    <r>
      <rPr>
        <b/>
        <sz val="10"/>
        <rFont val="Arial"/>
        <family val="2"/>
      </rPr>
      <t xml:space="preserve"> tab.</t>
    </r>
  </si>
  <si>
    <t xml:space="preserve">                               Only those cells with a white background can be changed (accept new values).  </t>
  </si>
  <si>
    <t>Project Descriptive Data</t>
  </si>
  <si>
    <t xml:space="preserve">  Project Location</t>
  </si>
  <si>
    <t xml:space="preserve">  Population (only required for County/Region analysis)</t>
  </si>
  <si>
    <t xml:space="preserve">  Year of Construction </t>
  </si>
  <si>
    <t xml:space="preserve">  Total Project Size - Nameplate Capacity (MW)</t>
  </si>
  <si>
    <t xml:space="preserve">  Number of Projects (included in Total Project Size)</t>
  </si>
  <si>
    <t xml:space="preserve">  Turbine Size (KW)</t>
  </si>
  <si>
    <t xml:space="preserve">  Number of Turbines</t>
  </si>
  <si>
    <t xml:space="preserve">  Installed Project Cost ($/KW)</t>
  </si>
  <si>
    <t xml:space="preserve">  Operations and Maintenance Cost ($/kW)</t>
  </si>
  <si>
    <t xml:space="preserve">  Money Value - Current or Constant (Dollar Year) </t>
  </si>
  <si>
    <r>
      <t xml:space="preserve">Utilize </t>
    </r>
    <r>
      <rPr>
        <b/>
        <i/>
        <sz val="10"/>
        <rFont val="Arial"/>
        <family val="2"/>
      </rPr>
      <t>Project Cost Data</t>
    </r>
    <r>
      <rPr>
        <b/>
        <sz val="10"/>
        <rFont val="Arial"/>
        <family val="2"/>
      </rPr>
      <t xml:space="preserve"> default values in analysis? Choose "Y" to accept default values below or "N" to over-ride default values and utilize new user defined values as entered below.  </t>
    </r>
    <r>
      <rPr>
        <b/>
        <i/>
        <sz val="10"/>
        <rFont val="Arial"/>
        <family val="2"/>
      </rPr>
      <t>See FAQ for related topics.</t>
    </r>
  </si>
  <si>
    <t>N</t>
  </si>
  <si>
    <r>
      <t xml:space="preserve">If desired, default values (in cells below - based on </t>
    </r>
    <r>
      <rPr>
        <b/>
        <i/>
        <sz val="10"/>
        <rFont val="Arial"/>
        <family val="2"/>
      </rPr>
      <t>Project Descriptive Data</t>
    </r>
    <r>
      <rPr>
        <b/>
        <sz val="10"/>
        <rFont val="Arial"/>
        <family val="2"/>
      </rPr>
      <t xml:space="preserve"> entered above) may be restored by pressing the 'Restore Default Values' button.  </t>
    </r>
    <r>
      <rPr>
        <b/>
        <i/>
        <sz val="9"/>
        <rFont val="Arial"/>
        <family val="2"/>
      </rPr>
      <t>Note: it is not necessary to restore defaults to incorporate default Project Cost Data in system analysis - simply choose "Y" in cell B24 above.</t>
    </r>
    <r>
      <rPr>
        <b/>
        <sz val="10"/>
        <rFont val="Arial"/>
        <family val="2"/>
      </rPr>
      <t xml:space="preserve">  </t>
    </r>
  </si>
  <si>
    <t xml:space="preserve">Project Cost Data </t>
  </si>
  <si>
    <t xml:space="preserve">Cost </t>
  </si>
  <si>
    <t>Percent of</t>
  </si>
  <si>
    <t>Construction Costs</t>
  </si>
  <si>
    <t>Per KW</t>
  </si>
  <si>
    <t>Total Cost</t>
  </si>
  <si>
    <t>Local Share</t>
  </si>
  <si>
    <t>Equipment Costs</t>
  </si>
  <si>
    <t xml:space="preserve">  Turbines (excluding blades and towers)</t>
  </si>
  <si>
    <t xml:space="preserve">  Blades</t>
  </si>
  <si>
    <t xml:space="preserve">  Towers</t>
  </si>
  <si>
    <t xml:space="preserve">  Transportation</t>
  </si>
  <si>
    <t xml:space="preserve">  Equipment Total</t>
  </si>
  <si>
    <t>Balance of Plant</t>
  </si>
  <si>
    <t xml:space="preserve">  Materials</t>
  </si>
  <si>
    <t xml:space="preserve">    Construction (concrete, rebar, equip, roads and site prep)</t>
  </si>
  <si>
    <t xml:space="preserve">    Transformer</t>
  </si>
  <si>
    <t xml:space="preserve">    Electrical (drop cable, wire, )</t>
  </si>
  <si>
    <t xml:space="preserve">    HV line extension</t>
  </si>
  <si>
    <t xml:space="preserve">    Materials Subtotal</t>
  </si>
  <si>
    <t xml:space="preserve">  Labor</t>
  </si>
  <si>
    <t xml:space="preserve">    Foundation</t>
  </si>
  <si>
    <t xml:space="preserve">    Erection</t>
  </si>
  <si>
    <t xml:space="preserve">    Electrical</t>
  </si>
  <si>
    <t xml:space="preserve">    Management/Supervision</t>
  </si>
  <si>
    <t xml:space="preserve">    Misc. </t>
  </si>
  <si>
    <t xml:space="preserve">    Labor Subtotal</t>
  </si>
  <si>
    <t xml:space="preserve">  Development/Other Costs</t>
  </si>
  <si>
    <t xml:space="preserve">    HV Sub/Interconnection</t>
  </si>
  <si>
    <t xml:space="preserve">       Materials</t>
  </si>
  <si>
    <t xml:space="preserve">       Labor</t>
  </si>
  <si>
    <t xml:space="preserve">    Engineering</t>
  </si>
  <si>
    <t xml:space="preserve">    Legal Services</t>
  </si>
  <si>
    <t xml:space="preserve">    Land Easements</t>
  </si>
  <si>
    <t xml:space="preserve">    Site Certificate/Permitting</t>
  </si>
  <si>
    <t xml:space="preserve">    Development/Other Subtotal</t>
  </si>
  <si>
    <t xml:space="preserve">  Balance of Plant Total</t>
  </si>
  <si>
    <t>Total</t>
  </si>
  <si>
    <t>Wind Farm Annual Operating and Maintenance Costs</t>
  </si>
  <si>
    <t>Labor</t>
  </si>
  <si>
    <t>Personnel</t>
  </si>
  <si>
    <t xml:space="preserve">  Field Salaries</t>
  </si>
  <si>
    <t xml:space="preserve">  Administrative</t>
  </si>
  <si>
    <t xml:space="preserve">  Management</t>
  </si>
  <si>
    <t xml:space="preserve">  Labor/Personnel Subtotal</t>
  </si>
  <si>
    <t>Materials and Services</t>
  </si>
  <si>
    <t xml:space="preserve">  Vehicles</t>
  </si>
  <si>
    <t xml:space="preserve">  Site Maint/Misc. Services</t>
  </si>
  <si>
    <t xml:space="preserve">  Fees, Permits, Licenses</t>
  </si>
  <si>
    <t xml:space="preserve">  Utilities</t>
  </si>
  <si>
    <t xml:space="preserve">  Insurance</t>
  </si>
  <si>
    <t xml:space="preserve">  Fuel (motor vehicle gasoline)</t>
  </si>
  <si>
    <t xml:space="preserve">  Consumables/Tools and Misc. Supplies</t>
  </si>
  <si>
    <t xml:space="preserve">  Replacement Parts/Equipment/ Spare Parts Inventory</t>
  </si>
  <si>
    <t xml:space="preserve">  Materials and Services Subtotal</t>
  </si>
  <si>
    <t>Total O&amp;M Cost</t>
  </si>
  <si>
    <t>Other Parameters</t>
  </si>
  <si>
    <t>Financial Parameters</t>
  </si>
  <si>
    <t xml:space="preserve">  Debt Financing</t>
  </si>
  <si>
    <t xml:space="preserve">  Percentage financed</t>
  </si>
  <si>
    <t xml:space="preserve">  Years financed (term)</t>
  </si>
  <si>
    <t xml:space="preserve">  Interest rate</t>
  </si>
  <si>
    <t xml:space="preserve">  Equity Financing/Repayment</t>
  </si>
  <si>
    <t xml:space="preserve">  Percentage equity</t>
  </si>
  <si>
    <t xml:space="preserve">  Individual Investors (percent of total equity)</t>
  </si>
  <si>
    <t xml:space="preserve">  Corporate Investors (percent of total equity)</t>
  </si>
  <si>
    <t xml:space="preserve">  Return on equity (annual interest rate)</t>
  </si>
  <si>
    <t xml:space="preserve">  Repayment term (years)</t>
  </si>
  <si>
    <t>Tax Parameters</t>
  </si>
  <si>
    <t xml:space="preserve">  Local Property/Other Tax Rate (percent of taxable value)</t>
  </si>
  <si>
    <t xml:space="preserve">  Assessed value  (percent of construction cost)</t>
  </si>
  <si>
    <t xml:space="preserve">  Taxable Value (percent of assessed value)</t>
  </si>
  <si>
    <t xml:space="preserve">  Taxable Value</t>
  </si>
  <si>
    <t xml:space="preserve">  Taxes Per MW</t>
  </si>
  <si>
    <t xml:space="preserve">  Local Taxes</t>
  </si>
  <si>
    <t>Land Lease Parameters</t>
  </si>
  <si>
    <t xml:space="preserve">  Land Lease Cost (per turbine)</t>
  </si>
  <si>
    <t xml:space="preserve">  Land Lease (total cost)</t>
  </si>
  <si>
    <t xml:space="preserve">  Lease Payment recipient (F = farmer/household, O = Other)</t>
  </si>
  <si>
    <t>Payroll Parameters</t>
  </si>
  <si>
    <t xml:space="preserve">  Construction Labor</t>
  </si>
  <si>
    <t>Wage per hour</t>
  </si>
  <si>
    <t>Employer Payroll Overhead</t>
  </si>
  <si>
    <t xml:space="preserve">  Foundation</t>
  </si>
  <si>
    <t xml:space="preserve">  Erection</t>
  </si>
  <si>
    <t xml:space="preserve">  Electrical</t>
  </si>
  <si>
    <t xml:space="preserve">  Management/Supervision</t>
  </si>
  <si>
    <t xml:space="preserve">  O&amp;M Labor</t>
  </si>
  <si>
    <t xml:space="preserve">  Field Salaries (technicians, other)</t>
  </si>
  <si>
    <t>Primary Technology &amp; Equip. Cost</t>
  </si>
  <si>
    <t>annualized</t>
  </si>
  <si>
    <t>Start year</t>
  </si>
  <si>
    <t>Field costs</t>
  </si>
  <si>
    <t xml:space="preserve">Business costs </t>
  </si>
  <si>
    <t>Business salaries</t>
  </si>
  <si>
    <t>other</t>
  </si>
  <si>
    <t>kW</t>
  </si>
  <si>
    <t>Rated turbine capacity</t>
  </si>
  <si>
    <t>Oversupply factor</t>
  </si>
  <si>
    <t>LCOE price</t>
  </si>
  <si>
    <t>sub tot</t>
  </si>
  <si>
    <t>Field employees</t>
  </si>
  <si>
    <t>Output per Turbine / yr</t>
  </si>
  <si>
    <t>Conversions</t>
  </si>
  <si>
    <t>MW</t>
  </si>
  <si>
    <t>Annual LCOE turbine income</t>
  </si>
  <si>
    <t>Market Price</t>
  </si>
  <si>
    <t>$/kwh</t>
  </si>
  <si>
    <t>Econ intensity</t>
  </si>
  <si>
    <t>Wh/$</t>
  </si>
  <si>
    <t>$/Kbtu</t>
  </si>
  <si>
    <t>Econ Efficiency</t>
  </si>
  <si>
    <t>field oper</t>
  </si>
  <si>
    <t>field empl</t>
  </si>
  <si>
    <t>biz empl</t>
  </si>
  <si>
    <t>biz costs subtot</t>
  </si>
  <si>
    <t>check</t>
  </si>
  <si>
    <t>?</t>
  </si>
  <si>
    <t xml:space="preserve">replace 30 </t>
  </si>
  <si>
    <t>replace 170</t>
  </si>
  <si>
    <t>TEXAS</t>
  </si>
  <si>
    <t/>
  </si>
  <si>
    <t>na</t>
  </si>
  <si>
    <t>F</t>
  </si>
  <si>
    <t>Per Turbine</t>
  </si>
  <si>
    <t>Btu/$</t>
  </si>
  <si>
    <t>Heat Rate of Wind Turbine (from EIA NEMS model)</t>
  </si>
  <si>
    <t>Btu/kWh</t>
  </si>
  <si>
    <t>LCOE in But/$ equivalents using EIA heat rate</t>
  </si>
  <si>
    <t>LCOE in But/$ equivalents using MWh converstion to Btu</t>
  </si>
  <si>
    <t>Capcity of Turbine</t>
  </si>
  <si>
    <t>2</t>
  </si>
  <si>
    <t>Total Vestas LCA Values</t>
  </si>
  <si>
    <t>Mfg / Dismantling (Vestas LCA, kJ/kWh)</t>
  </si>
  <si>
    <t>Operation (Vestas LCA, kJ/kWh)</t>
  </si>
  <si>
    <t>Transport (Vestas LCA, kJ/kWh)</t>
  </si>
  <si>
    <t>Total (Vestas LCA, kJ/kWh)</t>
  </si>
  <si>
    <t>Lignite (brown coal)</t>
  </si>
  <si>
    <t>Straw</t>
  </si>
  <si>
    <t>Wood</t>
  </si>
  <si>
    <t>Other Biomass</t>
  </si>
  <si>
    <t>INPUTS are this green</t>
  </si>
  <si>
    <t>Onshore, Vestas 2.0 MW LCA Information</t>
  </si>
  <si>
    <t>OUTPUTS are this blue</t>
  </si>
  <si>
    <t>IRR, r, is defined by that which makes makes NPV = 0</t>
  </si>
  <si>
    <t>Net present value at calcuated/give IRR, r</t>
  </si>
  <si>
    <t>Input data from Vestas 2 MW V80 Document</t>
  </si>
  <si>
    <t>Totals:</t>
  </si>
  <si>
    <t>How does this seem now Jay??? (CWK)</t>
  </si>
  <si>
    <r>
      <t xml:space="preserve">Calculated </t>
    </r>
    <r>
      <rPr>
        <b/>
        <sz val="11"/>
        <color indexed="8"/>
        <rFont val="Calibri"/>
        <family val="2"/>
      </rPr>
      <t>capacity factor (CF)</t>
    </r>
    <r>
      <rPr>
        <sz val="11"/>
        <color theme="1"/>
        <rFont val="Calibri"/>
        <family val="2"/>
        <scheme val="minor"/>
      </rPr>
      <t xml:space="preserve"> within the Vestas 2 MW turbine LCA Document</t>
    </r>
  </si>
  <si>
    <t>STEP 1: LCA</t>
  </si>
  <si>
    <t>STEP 2: TEA1</t>
  </si>
  <si>
    <t>STEP 3: TEA2</t>
  </si>
  <si>
    <t>Notes</t>
  </si>
  <si>
    <t>Shouldn't enegy from wind be = market electricity price?</t>
  </si>
  <si>
    <t>Shouldn't enegy from hydro be = market electricity price?</t>
  </si>
  <si>
    <t>Is nuclear power really this much higher per Btu??</t>
  </si>
  <si>
    <t>Total Vestas LCA Values per Turbine</t>
  </si>
  <si>
    <t>Toal Consumption in MJ per Turbine</t>
  </si>
  <si>
    <t>Total Consumption in Million Btu per Turbine</t>
  </si>
  <si>
    <t>Total Consumption in kWh per Turbine</t>
  </si>
  <si>
    <t>Market Value of Energy Input per Turbine</t>
  </si>
  <si>
    <t>IRRe</t>
  </si>
  <si>
    <t>Economic costs &amp; TEA Implied Economic Emergy</t>
  </si>
  <si>
    <t>total capacity</t>
  </si>
  <si>
    <t>Rated  capacity</t>
  </si>
  <si>
    <t>Est LCA</t>
  </si>
  <si>
    <t>%Avg</t>
  </si>
  <si>
    <t>$/kWh</t>
  </si>
  <si>
    <t>Field fuel supply</t>
  </si>
  <si>
    <t>Field technology</t>
  </si>
  <si>
    <t>LCA Energy Accounts &amp; LCA estimates</t>
  </si>
  <si>
    <t>Business operation fuel supply</t>
  </si>
  <si>
    <t>Business operation technology</t>
  </si>
  <si>
    <t>Management &amp; Development technology</t>
  </si>
  <si>
    <t>Management &amp; Development fuel supply</t>
  </si>
  <si>
    <t>SEA</t>
  </si>
  <si>
    <t>% Avg</t>
  </si>
  <si>
    <t xml:space="preserve">I/0 </t>
  </si>
  <si>
    <t>I/O</t>
  </si>
  <si>
    <t>fuels</t>
  </si>
  <si>
    <t>_KW</t>
  </si>
  <si>
    <t>biz fuel</t>
  </si>
  <si>
    <t>Tech Eqp</t>
  </si>
  <si>
    <t>Invest eqp</t>
  </si>
  <si>
    <t>total</t>
  </si>
  <si>
    <t>Invest exp</t>
  </si>
  <si>
    <t>Field fuels</t>
  </si>
  <si>
    <t>Biz Fuels</t>
  </si>
  <si>
    <t>field fuel</t>
  </si>
  <si>
    <t>invest oper</t>
  </si>
  <si>
    <t>Invest Fees &amp; Insur</t>
  </si>
  <si>
    <t>Invest Land &amp; Taxes</t>
  </si>
  <si>
    <t>Cost/yr</t>
  </si>
  <si>
    <t>fuel-Wh/$</t>
  </si>
  <si>
    <t>btu/$ Avg</t>
  </si>
  <si>
    <t>Wh/$ Avg</t>
  </si>
  <si>
    <t>btu/$-Avg</t>
  </si>
  <si>
    <t>energy cost</t>
  </si>
  <si>
    <t>kWh</t>
  </si>
  <si>
    <t>Fuel Intensity</t>
  </si>
  <si>
    <t>Est Factor</t>
  </si>
  <si>
    <t>LCA &amp; Energy costs</t>
  </si>
  <si>
    <t xml:space="preserve"> ref'd from "EconomicValueEnergy"</t>
  </si>
  <si>
    <t>Cost of energy per installed turbine KW</t>
  </si>
  <si>
    <t>LCA Est for fuel costs, assuming Crude oil is source</t>
  </si>
  <si>
    <t>Mbtu/$</t>
  </si>
  <si>
    <t>times average</t>
  </si>
  <si>
    <t>LCA+</t>
  </si>
  <si>
    <t>Inputs per kW installed capacity</t>
  </si>
  <si>
    <t>Primary Technology &amp; Equipment, annualized</t>
  </si>
  <si>
    <t xml:space="preserve"> per kW installed</t>
  </si>
  <si>
    <t xml:space="preserve">A TEA+  Model Input-Output table </t>
  </si>
  <si>
    <t>yr</t>
  </si>
  <si>
    <t>lease</t>
  </si>
  <si>
    <t>n.i.c</t>
  </si>
  <si>
    <t>JEDI costs</t>
  </si>
  <si>
    <t>KWh/yr</t>
  </si>
  <si>
    <t>null</t>
  </si>
  <si>
    <t>level</t>
  </si>
  <si>
    <t>LCA intensity</t>
  </si>
  <si>
    <t>KWh LCA</t>
  </si>
  <si>
    <t>Cost of work</t>
  </si>
  <si>
    <t>kWh LCA energy per installed turbine KW</t>
  </si>
  <si>
    <t>LCA/$</t>
  </si>
  <si>
    <t>Referenced from "EconomicValueEnergy"</t>
  </si>
  <si>
    <t>E return</t>
  </si>
  <si>
    <t>a Wind Farm EROI, comparing levels of whole system organization, the technology, + the fabricators, + the operators, + the business operation, + the investment for the business</t>
  </si>
  <si>
    <t>Milestones</t>
  </si>
  <si>
    <t>turbines</t>
  </si>
  <si>
    <t>empl</t>
  </si>
  <si>
    <t>expense</t>
  </si>
  <si>
    <t>$/KW</t>
  </si>
  <si>
    <t>per KW</t>
  </si>
  <si>
    <t>Energy Output Flows per Turbine (kWh equiv)</t>
  </si>
  <si>
    <t>Energy Input Flows per Turbine (kWh equiv)</t>
  </si>
  <si>
    <t>Total Energy Flow per Turbine (kWh equiv)</t>
  </si>
  <si>
    <t>Ratio of final energy inputs calcualted over initial LCA energy inputs --&gt;</t>
  </si>
  <si>
    <t>STEP 1b: LCA+</t>
  </si>
  <si>
    <t>World energy consumption (quads in 2006, EIA Intl. Energy Outlook 2009)</t>
  </si>
  <si>
    <t>inflation from 2005 to 2006 (0.916 2005 $'s are 1 2008$, and 0.946 2006$'s are 1 2008$)</t>
  </si>
  <si>
    <t>World GDP expressed using market exchange rates (Billion $2005 in the year 2006, EIA Intl. Energy Outlook 2009)</t>
  </si>
  <si>
    <t>approximate Btu/$-market in 2006 for world</t>
  </si>
  <si>
    <t>approximate Btu/$-PPP in 2006 for world</t>
  </si>
  <si>
    <t>World GDP expressed using purchasing power parity, PPP (Billion $2005 in the year 2006, EIA Intl. Energy Outlook 2009)</t>
  </si>
  <si>
    <t>Electricity Output in kWh per Turbine</t>
  </si>
  <si>
    <t>Project Construction Cost per Turbine</t>
  </si>
  <si>
    <t>Constr. Matls.</t>
  </si>
  <si>
    <t>Cost/kW</t>
  </si>
  <si>
    <t>Trans. Matls.</t>
  </si>
  <si>
    <t>E invest</t>
  </si>
  <si>
    <t>% of costs</t>
  </si>
  <si>
    <t>% energy</t>
  </si>
  <si>
    <t>20 yr Accumulative EROI &amp; IRR (per kW capacity)</t>
  </si>
  <si>
    <t>Annualized EROI &amp; IRR (per kW capacity)</t>
  </si>
  <si>
    <t>EROI &amp; IRR by Business unit scales</t>
  </si>
  <si>
    <t xml:space="preserve">Texas Wind Farm,  50 Turbines of 2MW </t>
  </si>
  <si>
    <t>$ costs</t>
  </si>
  <si>
    <t xml:space="preserve"> simple EROI</t>
  </si>
  <si>
    <t>Accum EROI</t>
  </si>
  <si>
    <t>plus the rents, investments &amp; taxes</t>
  </si>
  <si>
    <t>plus the offices, utilities &amp; fees</t>
  </si>
  <si>
    <t>plus the field operations running it</t>
  </si>
  <si>
    <t>Whole Business working unit scales</t>
  </si>
  <si>
    <t>E Increment</t>
  </si>
  <si>
    <t>subtot</t>
  </si>
  <si>
    <t>Total kWh LCA per turbine</t>
  </si>
  <si>
    <t>Do we want to go back to perTurbine rather than per KW installed like the JEDI data as before?</t>
  </si>
  <si>
    <t>#1, 3</t>
  </si>
  <si>
    <t>#2, 4, 5</t>
  </si>
  <si>
    <t>for some reason, from the same data source</t>
  </si>
  <si>
    <t>The whole exercise depends on using consistent factors I think, as several items we can't even estimate an uncertainty for.</t>
  </si>
  <si>
    <t>I retraced my data and still get 6660 for that, working from the 2000$ IEA 40 year global PPP series &amp; Fed Reserve  inflation calculator</t>
  </si>
  <si>
    <t>difference is not an issue here, our 2006 Quads differ too,</t>
  </si>
  <si>
    <t>We'd be off that much from the 20 yr values for the annual costs anyway - keep note</t>
  </si>
  <si>
    <t>Why have a factor of .27 less than the data? - table data are in MJ, &amp; 1 MJ = 0.27777778 kWh</t>
  </si>
  <si>
    <t>Energy Consumption Incorporated</t>
  </si>
  <si>
    <t>Year 0: Energy for purchasing fuels in LCA</t>
  </si>
  <si>
    <t>All of Step 1: LCA</t>
  </si>
  <si>
    <t>All of Step 1b: LCA+</t>
  </si>
  <si>
    <t>All of Step 2: TEA1</t>
  </si>
  <si>
    <t>All of Step 3: TEA2</t>
  </si>
  <si>
    <t>Annual: none</t>
  </si>
  <si>
    <t>Year 0: Energy associated with "turbine purchase cost"</t>
  </si>
  <si>
    <t>Year 0: none</t>
  </si>
  <si>
    <t>Annual: Energy associated with "field O&amp;M costs"</t>
  </si>
  <si>
    <t>Annual: Energy associated with "Business O&amp;M costs"</t>
  </si>
  <si>
    <t>Year 0: Energy associated with construction costs "all Physical Plant" of JEDI</t>
  </si>
  <si>
    <t>plus the businesses making and installing it</t>
  </si>
  <si>
    <t>Physical Plant (design and installation) Cost</t>
  </si>
  <si>
    <t>LCA for direct &amp; indirect fuel energy (only) of  principle technology and construction</t>
  </si>
  <si>
    <t>Production  Tax Credit</t>
  </si>
  <si>
    <t>Production Tax Credit (per kWh) for 1st 10 years:</t>
  </si>
  <si>
    <t>Revenues Including Tax Credit</t>
  </si>
  <si>
    <t>Avg Wholesale Market Price for Balancing Energy in ERCOT Jan-Oct 2009:</t>
  </si>
  <si>
    <t>Avg Wholesale Market Price for Balancing Energy in ERCOT 2008:</t>
  </si>
  <si>
    <t>Avg Wholesale Mkt Price in 2008-09</t>
  </si>
  <si>
    <t>Assumes Producer can use all of the tax credit.</t>
  </si>
  <si>
    <t>From On-Line Calculator:</t>
  </si>
  <si>
    <t>After-Tax Cash Flow</t>
  </si>
  <si>
    <t>($thousand)</t>
  </si>
  <si>
    <t>1st Year Energy Payment (cents/kWh)</t>
  </si>
  <si>
    <t>Energy Payment Escalation Rate (%/year)</t>
  </si>
  <si>
    <t>Nominal Levelised Cost of Energy (LCOE) (cents/kWh)</t>
  </si>
  <si>
    <t>Real LCOE (start year cents/kWh)</t>
  </si>
  <si>
    <t>Breakeven LCOE (cents/kWh)</t>
  </si>
  <si>
    <t>Payback Period (Years)</t>
  </si>
  <si>
    <t>Net Present Value (start year dollars)</t>
  </si>
  <si>
    <t>Target Internal Rate of Return (IRR) (%)</t>
  </si>
  <si>
    <t>Actual IRR (%)</t>
  </si>
  <si>
    <t>Target Minimum Debt Service Coverage Ratio (DSCR)</t>
  </si>
  <si>
    <t>Actual Minimum DSCR</t>
  </si>
  <si>
    <t>Minimum DSCR Year</t>
  </si>
  <si>
    <t>Target Average DSCR</t>
  </si>
  <si>
    <t>Actual Average DSCR</t>
  </si>
  <si>
    <t>Annual Energy Production (MWh/year)</t>
  </si>
  <si>
    <t>Traditional Financial Investment Calculations --  These are Jay's Simplified Formulas  -- NREL Calculator is used to the Right</t>
  </si>
  <si>
    <t xml:space="preserve">Annual Operations Cost per Turbine  </t>
  </si>
  <si>
    <t xml:space="preserve">This assumes all-equity financing.  </t>
  </si>
  <si>
    <t>none</t>
  </si>
  <si>
    <t>From Online calculator -- This uses the "financial constraints" in the model rather than market prices to determine revenues.  80% Debt financing and 20% equity is assumed (the default values).</t>
  </si>
  <si>
    <t>From Online calculator -- This uses market prices (escalated) to determine revenues, rather than "financial constraints."  80% debt financing and 20% equity financing is assumed (the default values).</t>
  </si>
  <si>
    <t>% of Equipment and Balance of plant costs</t>
  </si>
  <si>
    <t>Insurance % of Equipment and Balance of plant costs</t>
  </si>
  <si>
    <t>GENERAL ASSUMPTIONS</t>
  </si>
  <si>
    <t>Expected Inflation Rate</t>
  </si>
  <si>
    <t>3 %/year</t>
  </si>
  <si>
    <t>Rated Capacity</t>
  </si>
  <si>
    <t xml:space="preserve">Net Capacity Factor </t>
  </si>
  <si>
    <t>Start Year</t>
  </si>
  <si>
    <t>Project Lifetime</t>
  </si>
  <si>
    <t>CAPITAL COSTS (thousand dollars)</t>
  </si>
  <si>
    <t>Balance of Station (buildings, roads, interconnect, etc.)</t>
  </si>
  <si>
    <t>Land</t>
  </si>
  <si>
    <t>Developer Soft Costs</t>
  </si>
  <si>
    <t>Construction Loan Interest</t>
  </si>
  <si>
    <t>Other Capital Costs</t>
  </si>
  <si>
    <t>Debt Financing Fees</t>
  </si>
  <si>
    <t>Equity Financing Fees</t>
  </si>
  <si>
    <t>Debt Service Reserve Fund</t>
  </si>
  <si>
    <t>Initial Working Capital</t>
  </si>
  <si>
    <t>Total Capital Costs</t>
  </si>
  <si>
    <t>OPERATING EXPENSES</t>
  </si>
  <si>
    <t>Fixed Operation &amp; Maintenance (O&amp;M)</t>
  </si>
  <si>
    <t>Variable O&amp;M</t>
  </si>
  <si>
    <t>Site Owner Royalty</t>
  </si>
  <si>
    <t>(% of revenues)</t>
  </si>
  <si>
    <t>Property Tax</t>
  </si>
  <si>
    <t>(% of Equipment and Balance of Station Costs)</t>
  </si>
  <si>
    <t>Insurance</t>
  </si>
  <si>
    <t>Other Costs</t>
  </si>
  <si>
    <t>Fixed O&amp;M Escalation Rate</t>
  </si>
  <si>
    <t>Variable O&amp;M Escalation Rate</t>
  </si>
  <si>
    <t>Property Tax Escalation Rate</t>
  </si>
  <si>
    <t>0 %/year</t>
  </si>
  <si>
    <t>Insurance Escalation Rate</t>
  </si>
  <si>
    <t>Other Costs Escalation Rate</t>
  </si>
  <si>
    <t>FINANCING ASSUMPTIONS</t>
  </si>
  <si>
    <t>Grant Percentage (% of Total Capital Cost)</t>
  </si>
  <si>
    <t>Interest Earned on Reserves (%/year)</t>
  </si>
  <si>
    <t>(thousand dollars)</t>
  </si>
  <si>
    <t>Schedule Type</t>
  </si>
  <si>
    <t>Level Mortgage</t>
  </si>
  <si>
    <t>Debt Percentage</t>
  </si>
  <si>
    <t>Interest Rate</t>
  </si>
  <si>
    <t>Term (years)</t>
  </si>
  <si>
    <t>TAX ASSUMPTIONS</t>
  </si>
  <si>
    <t>Marginal Federal Tax Rate</t>
  </si>
  <si>
    <t>Marginal State Tax Rate</t>
  </si>
  <si>
    <t>Tax Incentive Type</t>
  </si>
  <si>
    <t xml:space="preserve">PTC </t>
  </si>
  <si>
    <t>Include PTC/REPI in DSCR Calculation</t>
  </si>
  <si>
    <t xml:space="preserve">Yes </t>
  </si>
  <si>
    <t>Incentive Amount</t>
  </si>
  <si>
    <t>Incentive Length</t>
  </si>
  <si>
    <t>Incentive Inflation Rate</t>
  </si>
  <si>
    <t>ECONOMIC ASSUMPTIONS</t>
  </si>
  <si>
    <t>Power Purchaser Discount Rate (for Levelised Cost of Energy [LCOE] Calculation)</t>
  </si>
  <si>
    <t>Project Owner Discount Rate (for Net Present Value [NPV] Calculation)</t>
  </si>
  <si>
    <t>Energy Payment Escalation Rate</t>
  </si>
  <si>
    <t>CONSTRAINING ASSUMPTIONS</t>
  </si>
  <si>
    <t>Average Debt Service Coverage Ratio (DSCR) Constraint</t>
  </si>
  <si>
    <t xml:space="preserve">No </t>
  </si>
  <si>
    <t>Minimum DSCR Constraint</t>
  </si>
  <si>
    <t>Target Minimum DSCR</t>
  </si>
  <si>
    <t>Internal Rate of Return (IRR) Constraint</t>
  </si>
  <si>
    <t>Target IRR</t>
  </si>
  <si>
    <t>Positive Cash Flow Constraint</t>
  </si>
  <si>
    <t>http://analysis.nrel.gov/windfinance/default.asp</t>
  </si>
  <si>
    <t>%/yr</t>
  </si>
  <si>
    <t>1000s $</t>
  </si>
  <si>
    <t>TEA4</t>
  </si>
  <si>
    <t>TEA5</t>
  </si>
  <si>
    <t>$/kW</t>
  </si>
  <si>
    <t>Amount (financed)</t>
  </si>
  <si>
    <t>Yes/No option</t>
  </si>
  <si>
    <t>cents/kWh</t>
  </si>
  <si>
    <t>I guess this interest rate for the debt can be anything we think is reasonable (6.8% as NREL default seems OK).</t>
  </si>
  <si>
    <t>??</t>
  </si>
  <si>
    <t>NOTES</t>
  </si>
  <si>
    <t>Tax credits (PTC)</t>
  </si>
  <si>
    <t>No as default case</t>
  </si>
  <si>
    <r>
      <t>A PTC of 0.95 to 1.9 cents per kilowatthour [</t>
    </r>
    <r>
      <rPr>
        <i/>
        <sz val="11"/>
        <color theme="1"/>
        <rFont val="Calibri"/>
        <family val="2"/>
        <scheme val="minor"/>
      </rPr>
      <t>35</t>
    </r>
    <r>
      <rPr>
        <sz val="11"/>
        <color theme="1"/>
        <rFont val="Calibri"/>
        <family val="2"/>
        <scheme val="minor"/>
      </rPr>
      <t xml:space="preserve">] is provided for sales of electricity generated from certain renewable resources at qualifying facilities for the first 10 years of their operation. The PTC is adjusted by the IRS each year, based on the annual inflation rate. (http://www.eia.doe.gov/oiaf/aeo/otheranalysis/fft.html) </t>
    </r>
  </si>
  <si>
    <t xml:space="preserve">I guess keep these default discount rates </t>
  </si>
  <si>
    <t>I guess this is for sale of electricity?</t>
  </si>
  <si>
    <t>I guess we could make this equal to the 10% (for Corporate rate) listed in the NREL paper comparing different methods.</t>
  </si>
  <si>
    <t>Should be the sum of the previous 10 items.</t>
  </si>
  <si>
    <t>1000s $/yr</t>
  </si>
  <si>
    <t>ISSUE: TEA 2 is really part of this.  Use a value of $18.28/kW for step TEA1, and use $19.82/kW when going to step TEA2</t>
  </si>
  <si>
    <t xml:space="preserve">  </t>
  </si>
  <si>
    <t>NPV of Additional Costs ($1000s)</t>
  </si>
  <si>
    <t xml:space="preserve">Base Case </t>
  </si>
  <si>
    <t>December 23, 2009</t>
  </si>
  <si>
    <t>ProjectYear</t>
  </si>
  <si>
    <t>CalendarYear</t>
  </si>
  <si>
    <t>Revenues</t>
  </si>
  <si>
    <t>EnergyPayment</t>
  </si>
  <si>
    <t>InterestonReserves</t>
  </si>
  <si>
    <t>TotalRevenues</t>
  </si>
  <si>
    <t>OperatingCosts</t>
  </si>
  <si>
    <t>FixedO&amp;M</t>
  </si>
  <si>
    <t>VariableO&amp;M</t>
  </si>
  <si>
    <t>SiteOwnerRoyalty</t>
  </si>
  <si>
    <t>PropertyTax</t>
  </si>
  <si>
    <t>OtherCosts</t>
  </si>
  <si>
    <t>TotalOperatingCosts</t>
  </si>
  <si>
    <t>OperatingIncome</t>
  </si>
  <si>
    <t>OtherExpenses</t>
  </si>
  <si>
    <t>InterestonLoan</t>
  </si>
  <si>
    <t>DepreciationPercentage</t>
  </si>
  <si>
    <t>Depreciation</t>
  </si>
  <si>
    <t>Amortization</t>
  </si>
  <si>
    <t>TotalOtherExpenses</t>
  </si>
  <si>
    <t>Before-TaxProfits</t>
  </si>
  <si>
    <t>IncomeTaxPaid</t>
  </si>
  <si>
    <t>TaxCreditsReceived</t>
  </si>
  <si>
    <t>After-TaxProfits</t>
  </si>
  <si>
    <t>Additions</t>
  </si>
  <si>
    <t>Year1CashfromFinancing</t>
  </si>
  <si>
    <t>ReleasedfromReserve</t>
  </si>
  <si>
    <t>TotalAdditions</t>
  </si>
  <si>
    <t>LoanPrincipal</t>
  </si>
  <si>
    <t>TotalSubtractions</t>
  </si>
  <si>
    <t>Before-TaxCashFlow</t>
  </si>
  <si>
    <t>TaxesPayable(BenefitReceived)</t>
  </si>
  <si>
    <t>TaxCredit</t>
  </si>
  <si>
    <t>After-TaxCashFlow</t>
  </si>
  <si>
    <t>CumulativeAfter-TaxCashFlow</t>
  </si>
  <si>
    <t>Jay's Check:</t>
  </si>
  <si>
    <t>PaybackBoolean</t>
  </si>
  <si>
    <t>Loan1</t>
  </si>
  <si>
    <t>BeginningBalance</t>
  </si>
  <si>
    <t>Interest</t>
  </si>
  <si>
    <t>Principal</t>
  </si>
  <si>
    <t>LoanTotal</t>
  </si>
  <si>
    <t>Loan2</t>
  </si>
  <si>
    <t>DebtServiceCoverageRatio(DSCR)</t>
  </si>
  <si>
    <t xml:space="preserve"> </t>
  </si>
  <si>
    <t xml:space="preserve">     </t>
  </si>
  <si>
    <t>Total After Tax Cash Flow</t>
  </si>
  <si>
    <t>Assumed Discount rate</t>
  </si>
  <si>
    <t>Accum $M</t>
  </si>
  <si>
    <t>% of Project $ Costs</t>
  </si>
  <si>
    <t>Wind electricity generation (kWh)</t>
  </si>
  <si>
    <t>LCOE ($/MWh)</t>
  </si>
  <si>
    <t>Data for IRR calculations (Carey added)</t>
  </si>
  <si>
    <t>IRR (adding the revenue to each step)</t>
  </si>
  <si>
    <t>LCA+ (now SEA0)</t>
  </si>
  <si>
    <t>SEA1</t>
  </si>
  <si>
    <t>SEA2</t>
  </si>
  <si>
    <t>SEA3</t>
  </si>
  <si>
    <t>SEA4</t>
  </si>
  <si>
    <t>SEA5</t>
  </si>
  <si>
    <t>Factor to multiply energ INPUT for changing initial EROI from LCA</t>
  </si>
  <si>
    <t>SEA0 (was LCA+)</t>
  </si>
  <si>
    <t>All of Step 4: TEA3</t>
  </si>
  <si>
    <t>Year 0:  none</t>
  </si>
  <si>
    <t>Annual: Energy associated with "local taxes, fees, and insurance"</t>
  </si>
  <si>
    <t>Value of Production Tax Credit</t>
  </si>
  <si>
    <t>Life of Prduction Tax Credit</t>
  </si>
  <si>
    <t>Assume PTC lasts 10 yrs and stays at constant value (?) each year for energy purposes</t>
  </si>
  <si>
    <t>SEA1 - Field</t>
  </si>
  <si>
    <t>SEA2 - Office</t>
  </si>
  <si>
    <t>All of Step 5: TEA4</t>
  </si>
  <si>
    <t>SEA0</t>
  </si>
  <si>
    <t>Annual: Financing (paying off loan) turned into energy flow for 1st 10 yrs</t>
  </si>
  <si>
    <t>Annual: Subsidy of Production Tax Credit (first 10 years)</t>
  </si>
  <si>
    <t>Annual: federal taxes imposed are assumed ZERO</t>
  </si>
  <si>
    <t>SEA4 (optional)</t>
  </si>
  <si>
    <t>SEA5 (optional)</t>
  </si>
  <si>
    <t>Financing</t>
  </si>
  <si>
    <t xml:space="preserve">to </t>
  </si>
  <si>
    <t>TEA3.1</t>
  </si>
  <si>
    <t>TEA3.2 (PTC)</t>
  </si>
  <si>
    <t>TEA3.0</t>
  </si>
  <si>
    <t>SEA3.1</t>
  </si>
  <si>
    <t>SEA3.2</t>
  </si>
  <si>
    <t>SEA3.0</t>
  </si>
  <si>
    <t>SEA3.1 - Federal Taxes</t>
  </si>
  <si>
    <t>SEA3.2  - PTC</t>
  </si>
  <si>
    <t>SEA3.0 - Financing, Royalties, Local Taxes, Insurance</t>
  </si>
  <si>
    <t>Subtractions</t>
  </si>
  <si>
    <t>STEP 5: SEA3.1</t>
  </si>
  <si>
    <t>$/kW value</t>
  </si>
  <si>
    <t xml:space="preserve">kWh/kW </t>
  </si>
  <si>
    <t>difference</t>
  </si>
  <si>
    <t>Additional Energy cost (Year 0)</t>
  </si>
  <si>
    <t>Additional annual cost</t>
  </si>
  <si>
    <t>already annualized by JEDI model</t>
  </si>
  <si>
    <t>Fuel/Resource</t>
  </si>
  <si>
    <t>Energy Consumed (kWh equiv.)</t>
  </si>
  <si>
    <t>Energy Consumed (MJ)</t>
  </si>
  <si>
    <t>Fuel cost ($/GJ)</t>
  </si>
  <si>
    <t xml:space="preserve">TOTAL Cost of fuels ($) = </t>
  </si>
  <si>
    <t>STEP 6: PTC</t>
  </si>
  <si>
    <t>I guess make this zero</t>
  </si>
  <si>
    <t>From JEDI model, $6,000/turbine is $3/kW</t>
  </si>
  <si>
    <t>Assume this is per year?</t>
  </si>
  <si>
    <t>Back calculated electricity price assumed by NREL model ($/MWh)</t>
  </si>
  <si>
    <t>&lt;-- Seems like we should be able to match this value to our LCOE calculations if we can make TOTAL CASH FLOW = $0</t>
  </si>
  <si>
    <t>loan interest rate</t>
  </si>
  <si>
    <t>debt financing amount (% of capital costs) for 20 yrs</t>
  </si>
  <si>
    <t>power purchaser discount rate (for LCOE calc)</t>
  </si>
  <si>
    <t>PTC amount for 10 years (cents/kWh)</t>
  </si>
  <si>
    <t>project owner discount rate (for NPV calc)</t>
  </si>
  <si>
    <t>Nominal Levelised Cost of Energy (LCOE) (cents/kWh):NREL Online calculator</t>
  </si>
  <si>
    <t>energy payment escalation rate</t>
  </si>
  <si>
    <t>Real LCOE (start year cents/kWh): NREL Online Calculator</t>
  </si>
  <si>
    <t>marginal federal tax rate</t>
  </si>
  <si>
    <t>Breakeven LCOE (cents/kWh): NREL online calculator</t>
  </si>
  <si>
    <t>target IRR</t>
  </si>
  <si>
    <t>Payback Period (Years): NREL online calculator</t>
  </si>
  <si>
    <t>site owner royalty rate (% of revenues)</t>
  </si>
  <si>
    <t>Net Present Value (start year dollars): NREL online calculator</t>
  </si>
  <si>
    <t>Property tax (% of equip and balance of station costs)</t>
  </si>
  <si>
    <t>Insureance (% of equip and balance of station costs)</t>
  </si>
  <si>
    <t>NoFinance</t>
  </si>
  <si>
    <t>SEA3.0-Finance</t>
  </si>
  <si>
    <t>Subsidy - Production tax credit effect</t>
  </si>
  <si>
    <t>Make this zero since the energy flow of the trubine and construction obviously has to occur in year 0</t>
  </si>
  <si>
    <t>biz office cost allow (Phil added $0.50 here for some reason)</t>
  </si>
  <si>
    <t>Break Even LCOE ($/MWh)</t>
  </si>
  <si>
    <t>SEA3.0-NoFinance</t>
  </si>
  <si>
    <t>average annual energy cost of financing</t>
  </si>
  <si>
    <t>STEP 4: SEA3.0 - No Finance</t>
  </si>
  <si>
    <t>STEP 4: SEA3.0 w/ Financing</t>
  </si>
  <si>
    <t>average annual income tax</t>
  </si>
  <si>
    <t>income tax ($/kW)</t>
  </si>
  <si>
    <t>average annual energy cost of income taxes</t>
  </si>
  <si>
    <t>kWh/kW</t>
  </si>
</sst>
</file>

<file path=xl/styles.xml><?xml version="1.0" encoding="utf-8"?>
<styleSheet xmlns="http://schemas.openxmlformats.org/spreadsheetml/2006/main">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
    <numFmt numFmtId="167" formatCode="&quot;$&quot;#,##0"/>
    <numFmt numFmtId="168" formatCode="&quot;$&quot;#,##0.000"/>
    <numFmt numFmtId="169" formatCode="&quot;$&quot;#,##0.00"/>
    <numFmt numFmtId="170" formatCode="0.000000"/>
    <numFmt numFmtId="171" formatCode="_(* #,##0_);_(* \(#,##0\);_(* &quot;-&quot;??_);_(@_)"/>
    <numFmt numFmtId="172" formatCode="0.000"/>
    <numFmt numFmtId="173" formatCode="0.0000"/>
    <numFmt numFmtId="174" formatCode="0.000E+00"/>
    <numFmt numFmtId="175" formatCode="&quot;$&quot;#,##0.0000"/>
    <numFmt numFmtId="176" formatCode="0.000%"/>
  </numFmts>
  <fonts count="60">
    <font>
      <sz val="11"/>
      <color theme="1"/>
      <name val="Calibri"/>
      <family val="2"/>
      <scheme val="minor"/>
    </font>
    <font>
      <sz val="11"/>
      <color indexed="10"/>
      <name val="Calibri"/>
      <family val="2"/>
    </font>
    <font>
      <b/>
      <sz val="11"/>
      <color indexed="8"/>
      <name val="Calibri"/>
      <family val="2"/>
    </font>
    <font>
      <b/>
      <sz val="11"/>
      <color indexed="10"/>
      <name val="Calibri"/>
      <family val="2"/>
    </font>
    <font>
      <sz val="11"/>
      <color indexed="30"/>
      <name val="Calibri"/>
      <family val="2"/>
    </font>
    <font>
      <b/>
      <sz val="11"/>
      <color indexed="30"/>
      <name val="Calibri"/>
      <family val="2"/>
    </font>
    <font>
      <b/>
      <sz val="11"/>
      <color indexed="17"/>
      <name val="Calibri"/>
      <family val="2"/>
    </font>
    <font>
      <sz val="11"/>
      <color indexed="17"/>
      <name val="Calibri"/>
      <family val="2"/>
    </font>
    <font>
      <sz val="11"/>
      <color indexed="45"/>
      <name val="Calibri"/>
      <family val="2"/>
    </font>
    <font>
      <sz val="11"/>
      <color indexed="8"/>
      <name val="Calibri"/>
      <family val="2"/>
    </font>
    <font>
      <b/>
      <sz val="11"/>
      <name val="Calibri"/>
      <family val="2"/>
    </font>
    <font>
      <b/>
      <sz val="14"/>
      <name val="Calibri"/>
      <family val="2"/>
    </font>
    <font>
      <b/>
      <sz val="12"/>
      <color indexed="8"/>
      <name val="Calibri"/>
      <family val="2"/>
    </font>
    <font>
      <b/>
      <u/>
      <sz val="14"/>
      <name val="Calibri"/>
      <family val="2"/>
    </font>
    <font>
      <sz val="8"/>
      <color indexed="81"/>
      <name val="Tahoma"/>
      <family val="2"/>
    </font>
    <font>
      <b/>
      <sz val="8"/>
      <color indexed="81"/>
      <name val="Tahoma"/>
      <family val="2"/>
    </font>
    <font>
      <b/>
      <sz val="14"/>
      <name val="Arial"/>
      <family val="2"/>
    </font>
    <font>
      <b/>
      <sz val="10"/>
      <name val="Arial"/>
      <family val="2"/>
    </font>
    <font>
      <b/>
      <i/>
      <sz val="10"/>
      <name val="Arial"/>
      <family val="2"/>
    </font>
    <font>
      <i/>
      <sz val="10"/>
      <name val="Arial"/>
      <family val="2"/>
    </font>
    <font>
      <b/>
      <sz val="12"/>
      <name val="Arial"/>
      <family val="2"/>
    </font>
    <font>
      <b/>
      <sz val="10"/>
      <color indexed="10"/>
      <name val="Arial"/>
      <family val="2"/>
    </font>
    <font>
      <b/>
      <sz val="10"/>
      <name val="Arial Unicode MS"/>
      <family val="2"/>
    </font>
    <font>
      <sz val="10"/>
      <name val="Arial"/>
      <family val="2"/>
    </font>
    <font>
      <b/>
      <sz val="10"/>
      <color indexed="53"/>
      <name val="Arial"/>
      <family val="2"/>
    </font>
    <font>
      <b/>
      <i/>
      <sz val="10"/>
      <color indexed="10"/>
      <name val="Arial"/>
      <family val="2"/>
    </font>
    <font>
      <b/>
      <i/>
      <sz val="9"/>
      <name val="Arial"/>
      <family val="2"/>
    </font>
    <font>
      <b/>
      <sz val="11"/>
      <name val="Arial"/>
      <family val="2"/>
    </font>
    <font>
      <b/>
      <sz val="9"/>
      <color indexed="10"/>
      <name val="Arial"/>
      <family val="2"/>
    </font>
    <font>
      <b/>
      <sz val="8"/>
      <color indexed="10"/>
      <name val="Tahoma"/>
      <family val="2"/>
    </font>
    <font>
      <b/>
      <i/>
      <sz val="8"/>
      <color indexed="10"/>
      <name val="Tahoma"/>
      <family val="2"/>
    </font>
    <font>
      <sz val="11"/>
      <name val="Calibri"/>
      <family val="2"/>
    </font>
    <font>
      <sz val="11"/>
      <color indexed="46"/>
      <name val="Calibri"/>
      <family val="2"/>
    </font>
    <font>
      <u/>
      <sz val="11"/>
      <color indexed="8"/>
      <name val="Calibri"/>
      <family val="2"/>
    </font>
    <font>
      <b/>
      <sz val="10"/>
      <color indexed="60"/>
      <name val="Arial"/>
      <family val="2"/>
    </font>
    <font>
      <sz val="11"/>
      <color indexed="60"/>
      <name val="Calibri"/>
      <family val="2"/>
    </font>
    <font>
      <b/>
      <sz val="11"/>
      <color indexed="60"/>
      <name val="Calibri"/>
      <family val="2"/>
    </font>
    <font>
      <sz val="9"/>
      <color indexed="60"/>
      <name val="Calibri"/>
      <family val="2"/>
    </font>
    <font>
      <sz val="11"/>
      <color indexed="23"/>
      <name val="Calibri"/>
      <family val="2"/>
    </font>
    <font>
      <b/>
      <sz val="16"/>
      <color indexed="10"/>
      <name val="Calibri"/>
      <family val="2"/>
    </font>
    <font>
      <b/>
      <sz val="14"/>
      <color indexed="10"/>
      <name val="Calibri"/>
      <family val="2"/>
    </font>
    <font>
      <sz val="11"/>
      <color indexed="53"/>
      <name val="Calibri"/>
      <family val="2"/>
    </font>
    <font>
      <b/>
      <sz val="11"/>
      <color indexed="53"/>
      <name val="Calibri"/>
      <family val="2"/>
    </font>
    <font>
      <sz val="11"/>
      <color indexed="36"/>
      <name val="Calibri"/>
      <family val="2"/>
    </font>
    <font>
      <sz val="20"/>
      <color indexed="8"/>
      <name val="Calibri"/>
      <family val="2"/>
    </font>
    <font>
      <sz val="8"/>
      <name val="Calibri"/>
      <family val="2"/>
    </font>
    <font>
      <sz val="10"/>
      <color rgb="FF000066"/>
      <name val="Verdana"/>
      <family val="2"/>
    </font>
    <font>
      <b/>
      <sz val="10"/>
      <color rgb="FF000066"/>
      <name val="Verdana"/>
      <family val="2"/>
    </font>
    <font>
      <sz val="10"/>
      <color rgb="FF000000"/>
      <name val="Verdana"/>
      <family val="2"/>
    </font>
    <font>
      <b/>
      <sz val="11"/>
      <color theme="1"/>
      <name val="Calibri"/>
      <family val="2"/>
      <scheme val="minor"/>
    </font>
    <font>
      <b/>
      <sz val="14"/>
      <color rgb="FF0070C0"/>
      <name val="Calibri"/>
      <family val="2"/>
      <scheme val="minor"/>
    </font>
    <font>
      <i/>
      <sz val="11"/>
      <color theme="1"/>
      <name val="Calibri"/>
      <family val="2"/>
      <scheme val="minor"/>
    </font>
    <font>
      <sz val="11"/>
      <name val="Calibri"/>
      <family val="2"/>
      <scheme val="minor"/>
    </font>
    <font>
      <sz val="11"/>
      <color rgb="FF000066"/>
      <name val="Tahoma"/>
      <family val="2"/>
    </font>
    <font>
      <b/>
      <sz val="11"/>
      <color rgb="FFFF0000"/>
      <name val="Calibri"/>
      <family val="2"/>
    </font>
    <font>
      <sz val="11"/>
      <color theme="1"/>
      <name val="Calibri"/>
      <family val="2"/>
    </font>
    <font>
      <b/>
      <sz val="11"/>
      <color rgb="FFFF0000"/>
      <name val="Calibri"/>
      <family val="2"/>
      <scheme val="minor"/>
    </font>
    <font>
      <b/>
      <sz val="11"/>
      <color rgb="FF0070C0"/>
      <name val="Calibri"/>
      <family val="2"/>
    </font>
    <font>
      <i/>
      <sz val="11"/>
      <color rgb="FF00B050"/>
      <name val="Calibri"/>
      <family val="2"/>
      <scheme val="minor"/>
    </font>
    <font>
      <b/>
      <sz val="11"/>
      <color rgb="FF00B050"/>
      <name val="Calibri"/>
      <family val="2"/>
      <scheme val="minor"/>
    </font>
  </fonts>
  <fills count="34">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19"/>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52"/>
        <bgColor indexed="64"/>
      </patternFill>
    </fill>
    <fill>
      <patternFill patternType="solid">
        <fgColor indexed="15"/>
        <bgColor indexed="64"/>
      </patternFill>
    </fill>
    <fill>
      <patternFill patternType="solid">
        <fgColor indexed="35"/>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50"/>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7" tint="0.39997558519241921"/>
        <bgColor indexed="64"/>
      </patternFill>
    </fill>
    <fill>
      <gradientFill>
        <stop position="0">
          <color rgb="FF00FF00"/>
        </stop>
        <stop position="1">
          <color rgb="FFFF0066"/>
        </stop>
      </gradient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43" fontId="9" fillId="0" borderId="0" applyFont="0" applyFill="0" applyBorder="0" applyAlignment="0" applyProtection="0"/>
    <xf numFmtId="44" fontId="9" fillId="0" borderId="0" applyFont="0" applyFill="0" applyBorder="0" applyAlignment="0" applyProtection="0"/>
    <xf numFmtId="170" fontId="23" fillId="0" borderId="0">
      <alignment horizontal="left" wrapText="1"/>
    </xf>
    <xf numFmtId="9" fontId="9" fillId="0" borderId="0" applyFont="0" applyFill="0" applyBorder="0" applyAlignment="0" applyProtection="0"/>
  </cellStyleXfs>
  <cellXfs count="538">
    <xf numFmtId="0" fontId="0" fillId="0" borderId="0" xfId="0"/>
    <xf numFmtId="11" fontId="0" fillId="0" borderId="0" xfId="0" applyNumberFormat="1"/>
    <xf numFmtId="0" fontId="1" fillId="0" borderId="0" xfId="0" applyFont="1"/>
    <xf numFmtId="0" fontId="3" fillId="0" borderId="0" xfId="0" applyFont="1"/>
    <xf numFmtId="3" fontId="0" fillId="0" borderId="0" xfId="0" applyNumberFormat="1"/>
    <xf numFmtId="0" fontId="2" fillId="0" borderId="0" xfId="0" applyFont="1" applyAlignment="1">
      <alignment horizontal="center"/>
    </xf>
    <xf numFmtId="0" fontId="0" fillId="0" borderId="0" xfId="0" applyAlignment="1">
      <alignment horizontal="center"/>
    </xf>
    <xf numFmtId="49" fontId="2"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xf>
    <xf numFmtId="11" fontId="0" fillId="0" borderId="0" xfId="0" applyNumberFormat="1" applyAlignment="1">
      <alignment horizontal="center"/>
    </xf>
    <xf numFmtId="10" fontId="0" fillId="0" borderId="0" xfId="0" applyNumberFormat="1"/>
    <xf numFmtId="165" fontId="0" fillId="0" borderId="0" xfId="0" applyNumberForma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Alignment="1">
      <alignment horizontal="center" wrapText="1"/>
    </xf>
    <xf numFmtId="0" fontId="0" fillId="0" borderId="0" xfId="0" applyAlignment="1">
      <alignment horizontal="left"/>
    </xf>
    <xf numFmtId="166" fontId="4" fillId="0" borderId="0" xfId="0" applyNumberFormat="1"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165" fontId="7" fillId="0" borderId="0" xfId="0" applyNumberFormat="1" applyFont="1" applyAlignment="1">
      <alignment horizontal="center" wrapText="1"/>
    </xf>
    <xf numFmtId="9" fontId="0" fillId="0" borderId="0" xfId="0" applyNumberFormat="1" applyAlignment="1">
      <alignment horizontal="center"/>
    </xf>
    <xf numFmtId="9" fontId="0" fillId="0" borderId="0" xfId="0" applyNumberFormat="1"/>
    <xf numFmtId="49" fontId="0" fillId="0" borderId="0" xfId="0" applyNumberFormat="1"/>
    <xf numFmtId="167" fontId="0" fillId="0" borderId="0" xfId="0" applyNumberFormat="1"/>
    <xf numFmtId="168" fontId="0" fillId="0" borderId="0" xfId="0" applyNumberFormat="1"/>
    <xf numFmtId="49" fontId="0" fillId="2" borderId="0" xfId="0" applyNumberFormat="1" applyFill="1"/>
    <xf numFmtId="0" fontId="0" fillId="2" borderId="0" xfId="0" applyFill="1"/>
    <xf numFmtId="10" fontId="0" fillId="2" borderId="0" xfId="0" applyNumberFormat="1" applyFill="1"/>
    <xf numFmtId="0" fontId="0" fillId="3" borderId="0" xfId="0" applyFill="1"/>
    <xf numFmtId="10" fontId="0" fillId="3" borderId="0" xfId="0" applyNumberFormat="1" applyFill="1"/>
    <xf numFmtId="6" fontId="0" fillId="3" borderId="0" xfId="0" applyNumberFormat="1" applyFill="1"/>
    <xf numFmtId="0" fontId="0" fillId="0" borderId="0" xfId="0" applyAlignment="1"/>
    <xf numFmtId="166" fontId="0" fillId="0" borderId="0" xfId="0" applyNumberFormat="1"/>
    <xf numFmtId="4" fontId="0" fillId="0" borderId="0" xfId="0" applyNumberFormat="1"/>
    <xf numFmtId="169" fontId="0" fillId="0" borderId="0" xfId="0" applyNumberFormat="1"/>
    <xf numFmtId="0" fontId="0" fillId="4" borderId="0" xfId="0" applyFill="1"/>
    <xf numFmtId="169" fontId="0" fillId="4" borderId="0" xfId="0" applyNumberFormat="1" applyFill="1"/>
    <xf numFmtId="0" fontId="8" fillId="5" borderId="0" xfId="0" applyFont="1" applyFill="1"/>
    <xf numFmtId="49" fontId="0" fillId="0" borderId="0" xfId="0" applyNumberFormat="1" applyAlignment="1">
      <alignment horizontal="right"/>
    </xf>
    <xf numFmtId="49" fontId="0" fillId="0" borderId="0" xfId="0" applyNumberFormat="1" applyAlignment="1">
      <alignment wrapText="1"/>
    </xf>
    <xf numFmtId="49" fontId="0" fillId="3" borderId="0" xfId="0" applyNumberFormat="1" applyFill="1"/>
    <xf numFmtId="9" fontId="0" fillId="3" borderId="0" xfId="0" applyNumberFormat="1" applyFill="1"/>
    <xf numFmtId="0" fontId="0" fillId="0" borderId="0" xfId="0" applyAlignment="1">
      <alignment horizontal="right"/>
    </xf>
    <xf numFmtId="0" fontId="10" fillId="0" borderId="0" xfId="0" applyFont="1"/>
    <xf numFmtId="0" fontId="10" fillId="0" borderId="0" xfId="0" applyFont="1" applyAlignment="1">
      <alignment horizontal="center" wrapText="1"/>
    </xf>
    <xf numFmtId="0" fontId="10" fillId="0" borderId="0" xfId="0" applyFont="1" applyAlignment="1">
      <alignment horizontal="right"/>
    </xf>
    <xf numFmtId="0" fontId="10" fillId="0" borderId="0" xfId="0" applyFont="1" applyAlignment="1">
      <alignment horizontal="left" indent="2"/>
    </xf>
    <xf numFmtId="0" fontId="10" fillId="0" borderId="0" xfId="0" applyFont="1" applyAlignment="1">
      <alignment horizontal="left" indent="4"/>
    </xf>
    <xf numFmtId="0" fontId="3" fillId="0" borderId="0" xfId="0" applyFont="1" applyAlignment="1">
      <alignment horizontal="left"/>
    </xf>
    <xf numFmtId="0" fontId="13" fillId="0" borderId="0" xfId="0" applyFont="1" applyAlignment="1">
      <alignment horizontal="center"/>
    </xf>
    <xf numFmtId="0" fontId="10" fillId="6" borderId="0" xfId="0" applyFont="1" applyFill="1" applyAlignment="1">
      <alignment horizontal="left" indent="2"/>
    </xf>
    <xf numFmtId="0" fontId="10" fillId="7" borderId="0" xfId="0" applyFont="1" applyFill="1" applyAlignment="1">
      <alignment horizontal="left" indent="2"/>
    </xf>
    <xf numFmtId="0" fontId="10" fillId="8" borderId="0" xfId="0" applyFont="1" applyFill="1" applyAlignment="1">
      <alignment horizontal="left" indent="2"/>
    </xf>
    <xf numFmtId="0" fontId="10" fillId="9" borderId="0" xfId="0" applyFont="1" applyFill="1" applyAlignment="1">
      <alignment horizontal="left" indent="2"/>
    </xf>
    <xf numFmtId="0" fontId="0" fillId="0" borderId="0" xfId="0" applyNumberFormat="1" applyAlignment="1">
      <alignment horizontal="center"/>
    </xf>
    <xf numFmtId="0" fontId="0" fillId="0" borderId="0" xfId="0" applyAlignment="1">
      <alignment horizontal="center" vertical="top" wrapText="1"/>
    </xf>
    <xf numFmtId="1" fontId="16" fillId="10" borderId="0" xfId="0" quotePrefix="1" applyNumberFormat="1" applyFont="1" applyFill="1" applyAlignment="1">
      <alignment horizontal="left"/>
    </xf>
    <xf numFmtId="1" fontId="0" fillId="11" borderId="0" xfId="0" applyNumberFormat="1" applyFill="1" applyAlignment="1"/>
    <xf numFmtId="1" fontId="17" fillId="12" borderId="0" xfId="0" quotePrefix="1" applyNumberFormat="1" applyFont="1" applyFill="1" applyAlignment="1">
      <alignment horizontal="left"/>
    </xf>
    <xf numFmtId="1" fontId="0" fillId="12" borderId="0" xfId="0" applyNumberFormat="1" applyFill="1" applyAlignment="1"/>
    <xf numFmtId="1" fontId="19" fillId="12" borderId="0" xfId="0" applyNumberFormat="1" applyFont="1" applyFill="1" applyAlignment="1"/>
    <xf numFmtId="175" fontId="0" fillId="2" borderId="0" xfId="0" applyNumberFormat="1" applyFill="1"/>
    <xf numFmtId="1" fontId="17" fillId="10" borderId="0" xfId="0" quotePrefix="1" applyNumberFormat="1" applyFont="1" applyFill="1" applyAlignment="1">
      <alignment horizontal="left"/>
    </xf>
    <xf numFmtId="1" fontId="0" fillId="10" borderId="0" xfId="0" applyNumberFormat="1" applyFill="1" applyAlignment="1"/>
    <xf numFmtId="1" fontId="20" fillId="10" borderId="0" xfId="0" applyNumberFormat="1" applyFont="1" applyFill="1" applyAlignment="1"/>
    <xf numFmtId="1" fontId="21" fillId="10" borderId="0" xfId="0" applyNumberFormat="1" applyFont="1" applyFill="1" applyAlignment="1"/>
    <xf numFmtId="1" fontId="0" fillId="10" borderId="0" xfId="0" applyNumberFormat="1" applyFill="1" applyAlignment="1" applyProtection="1">
      <protection locked="0"/>
    </xf>
    <xf numFmtId="1" fontId="22" fillId="0" borderId="0" xfId="0" applyNumberFormat="1" applyFont="1" applyAlignment="1" applyProtection="1">
      <alignment horizontal="center" vertical="top" wrapText="1"/>
      <protection locked="0"/>
    </xf>
    <xf numFmtId="1" fontId="17" fillId="10" borderId="0" xfId="0" applyNumberFormat="1" applyFont="1" applyFill="1" applyAlignment="1"/>
    <xf numFmtId="1" fontId="23" fillId="10" borderId="0" xfId="0" applyNumberFormat="1" applyFont="1" applyFill="1" applyAlignment="1" applyProtection="1">
      <protection locked="0"/>
    </xf>
    <xf numFmtId="170" fontId="17" fillId="10" borderId="0" xfId="0" applyNumberFormat="1" applyFont="1" applyFill="1" applyAlignment="1">
      <alignment horizontal="left"/>
    </xf>
    <xf numFmtId="3" fontId="17" fillId="0" borderId="0" xfId="0" applyNumberFormat="1" applyFont="1" applyFill="1" applyAlignment="1" applyProtection="1">
      <alignment horizontal="center"/>
      <protection locked="0"/>
    </xf>
    <xf numFmtId="1" fontId="17" fillId="0" borderId="0" xfId="0" applyNumberFormat="1" applyFont="1" applyBorder="1" applyAlignment="1" applyProtection="1">
      <alignment horizontal="center" wrapText="1"/>
      <protection locked="0"/>
    </xf>
    <xf numFmtId="3" fontId="17" fillId="0" borderId="0" xfId="1" applyNumberFormat="1" applyFont="1" applyAlignment="1" applyProtection="1">
      <alignment horizontal="center" wrapText="1"/>
      <protection locked="0"/>
    </xf>
    <xf numFmtId="1" fontId="17" fillId="10" borderId="0" xfId="0" applyNumberFormat="1" applyFont="1" applyFill="1" applyAlignment="1">
      <alignment horizontal="left"/>
    </xf>
    <xf numFmtId="1" fontId="0" fillId="10" borderId="0" xfId="0" applyNumberFormat="1" applyFill="1" applyAlignment="1" applyProtection="1"/>
    <xf numFmtId="3" fontId="17" fillId="10" borderId="0" xfId="0" applyNumberFormat="1" applyFont="1" applyFill="1" applyBorder="1" applyAlignment="1" applyProtection="1">
      <alignment horizontal="center"/>
    </xf>
    <xf numFmtId="167" fontId="17" fillId="0" borderId="0" xfId="2" applyNumberFormat="1" applyFont="1" applyFill="1" applyAlignment="1" applyProtection="1">
      <alignment horizontal="center"/>
      <protection locked="0"/>
    </xf>
    <xf numFmtId="1" fontId="24" fillId="10" borderId="0" xfId="0" applyNumberFormat="1" applyFont="1" applyFill="1" applyAlignment="1"/>
    <xf numFmtId="169" fontId="17" fillId="0" borderId="0" xfId="2" applyNumberFormat="1" applyFont="1" applyFill="1" applyAlignment="1" applyProtection="1">
      <alignment horizontal="center"/>
      <protection locked="0"/>
    </xf>
    <xf numFmtId="1" fontId="17" fillId="0" borderId="0" xfId="0" applyNumberFormat="1" applyFont="1" applyFill="1" applyAlignment="1" applyProtection="1">
      <alignment horizontal="center"/>
      <protection locked="0"/>
    </xf>
    <xf numFmtId="1" fontId="25" fillId="10" borderId="0" xfId="0" applyNumberFormat="1" applyFont="1" applyFill="1" applyAlignment="1" applyProtection="1"/>
    <xf numFmtId="166" fontId="17" fillId="10" borderId="0" xfId="0" applyNumberFormat="1" applyFont="1" applyFill="1" applyAlignment="1" applyProtection="1">
      <alignment horizontal="center"/>
      <protection locked="0"/>
    </xf>
    <xf numFmtId="1" fontId="21" fillId="10" borderId="0" xfId="0" applyNumberFormat="1" applyFont="1" applyFill="1" applyAlignment="1">
      <alignment horizontal="left"/>
    </xf>
    <xf numFmtId="1" fontId="21" fillId="10" borderId="0" xfId="0" applyNumberFormat="1" applyFont="1" applyFill="1" applyAlignment="1">
      <alignment horizontal="center"/>
    </xf>
    <xf numFmtId="1" fontId="27" fillId="10" borderId="0" xfId="0" applyNumberFormat="1" applyFont="1" applyFill="1" applyAlignment="1"/>
    <xf numFmtId="1" fontId="20" fillId="10" borderId="0" xfId="0" quotePrefix="1" applyNumberFormat="1" applyFont="1" applyFill="1" applyAlignment="1">
      <alignment horizontal="left"/>
    </xf>
    <xf numFmtId="1" fontId="17" fillId="11" borderId="0" xfId="0" applyNumberFormat="1" applyFont="1" applyFill="1" applyAlignment="1">
      <alignment horizontal="center"/>
    </xf>
    <xf numFmtId="1" fontId="17" fillId="10" borderId="0" xfId="0" applyNumberFormat="1" applyFont="1" applyFill="1" applyAlignment="1">
      <alignment horizontal="center"/>
    </xf>
    <xf numFmtId="1" fontId="17" fillId="10" borderId="0" xfId="0" applyNumberFormat="1" applyFont="1" applyFill="1" applyAlignment="1" applyProtection="1"/>
    <xf numFmtId="167" fontId="0" fillId="10" borderId="0" xfId="0" applyNumberFormat="1" applyFill="1" applyAlignment="1"/>
    <xf numFmtId="167" fontId="0" fillId="11" borderId="0" xfId="0" applyNumberFormat="1" applyFill="1" applyAlignment="1">
      <alignment horizontal="center"/>
    </xf>
    <xf numFmtId="165" fontId="0" fillId="11" borderId="0" xfId="4" applyNumberFormat="1" applyFont="1" applyFill="1" applyAlignment="1">
      <alignment horizontal="center"/>
    </xf>
    <xf numFmtId="9" fontId="0" fillId="10" borderId="0" xfId="0" applyNumberFormat="1" applyFill="1" applyAlignment="1" applyProtection="1">
      <alignment horizontal="center"/>
    </xf>
    <xf numFmtId="1" fontId="23" fillId="10" borderId="0" xfId="0" quotePrefix="1" applyNumberFormat="1" applyFont="1" applyFill="1" applyAlignment="1" applyProtection="1">
      <alignment horizontal="left"/>
    </xf>
    <xf numFmtId="167" fontId="0" fillId="0" borderId="0" xfId="0" applyNumberFormat="1" applyFill="1" applyAlignment="1" applyProtection="1">
      <protection locked="0"/>
    </xf>
    <xf numFmtId="9" fontId="0" fillId="0" borderId="0" xfId="0" applyNumberFormat="1" applyFill="1" applyAlignment="1" applyProtection="1">
      <alignment horizontal="center"/>
      <protection locked="0"/>
    </xf>
    <xf numFmtId="1" fontId="23" fillId="10" borderId="0" xfId="0" applyNumberFormat="1" applyFont="1" applyFill="1" applyAlignment="1" applyProtection="1"/>
    <xf numFmtId="167" fontId="0" fillId="10" borderId="0" xfId="0" applyNumberFormat="1" applyFill="1" applyAlignment="1">
      <alignment horizontal="center"/>
    </xf>
    <xf numFmtId="165" fontId="0" fillId="10" borderId="0" xfId="4" applyNumberFormat="1" applyFont="1" applyFill="1" applyAlignment="1">
      <alignment horizontal="center"/>
    </xf>
    <xf numFmtId="1" fontId="17" fillId="10" borderId="0" xfId="0" applyNumberFormat="1" applyFont="1" applyFill="1" applyAlignment="1" applyProtection="1">
      <alignment horizontal="left"/>
    </xf>
    <xf numFmtId="1" fontId="28" fillId="10" borderId="0" xfId="0" applyNumberFormat="1" applyFont="1" applyFill="1" applyAlignment="1" applyProtection="1">
      <protection locked="0"/>
    </xf>
    <xf numFmtId="9" fontId="0" fillId="10" borderId="0" xfId="0" applyNumberFormat="1" applyFill="1" applyAlignment="1">
      <alignment horizontal="center"/>
    </xf>
    <xf numFmtId="167" fontId="0" fillId="10" borderId="0" xfId="0" applyNumberFormat="1" applyFill="1" applyAlignment="1" applyProtection="1"/>
    <xf numFmtId="165" fontId="0" fillId="10" borderId="0" xfId="4" applyNumberFormat="1" applyFont="1" applyFill="1" applyAlignment="1" applyProtection="1">
      <alignment horizontal="center"/>
    </xf>
    <xf numFmtId="168" fontId="0" fillId="10" borderId="0" xfId="0" applyNumberFormat="1" applyFill="1" applyAlignment="1"/>
    <xf numFmtId="167" fontId="0" fillId="10" borderId="0" xfId="0" applyNumberFormat="1" applyFill="1" applyAlignment="1" applyProtection="1">
      <alignment horizontal="center"/>
    </xf>
    <xf numFmtId="1" fontId="23" fillId="11" borderId="0" xfId="0" applyNumberFormat="1" applyFont="1" applyFill="1" applyAlignment="1" applyProtection="1"/>
    <xf numFmtId="1" fontId="23" fillId="10" borderId="0" xfId="0" applyNumberFormat="1" applyFont="1" applyFill="1" applyAlignment="1" applyProtection="1">
      <alignment horizontal="left"/>
    </xf>
    <xf numFmtId="1" fontId="27" fillId="10" borderId="0" xfId="0" applyNumberFormat="1" applyFont="1" applyFill="1" applyAlignment="1" applyProtection="1"/>
    <xf numFmtId="9" fontId="0" fillId="10" borderId="0" xfId="0" applyNumberFormat="1" applyFill="1" applyAlignment="1"/>
    <xf numFmtId="9" fontId="0" fillId="10" borderId="0" xfId="0" applyNumberFormat="1" applyFill="1" applyAlignment="1" applyProtection="1"/>
    <xf numFmtId="1" fontId="20" fillId="10" borderId="0" xfId="0" quotePrefix="1" applyNumberFormat="1" applyFont="1" applyFill="1" applyAlignment="1" applyProtection="1">
      <alignment horizontal="left"/>
    </xf>
    <xf numFmtId="1" fontId="17" fillId="10" borderId="0" xfId="0" quotePrefix="1" applyNumberFormat="1" applyFont="1" applyFill="1" applyAlignment="1" applyProtection="1">
      <alignment horizontal="left"/>
    </xf>
    <xf numFmtId="169" fontId="0" fillId="11" borderId="0" xfId="0" applyNumberFormat="1" applyFill="1" applyAlignment="1">
      <alignment horizontal="center"/>
    </xf>
    <xf numFmtId="170" fontId="23" fillId="10" borderId="0" xfId="3" applyFont="1" applyFill="1">
      <alignment horizontal="left" wrapText="1"/>
    </xf>
    <xf numFmtId="170" fontId="23" fillId="10" borderId="0" xfId="3" applyFill="1">
      <alignment horizontal="left" wrapText="1"/>
    </xf>
    <xf numFmtId="170" fontId="23" fillId="10" borderId="0" xfId="3" quotePrefix="1" applyFill="1" applyAlignment="1">
      <alignment horizontal="left"/>
    </xf>
    <xf numFmtId="1" fontId="0" fillId="10" borderId="0" xfId="0" applyNumberFormat="1" applyFill="1" applyAlignment="1">
      <alignment horizontal="left"/>
    </xf>
    <xf numFmtId="169" fontId="17" fillId="10" borderId="0" xfId="0" applyNumberFormat="1" applyFont="1" applyFill="1" applyAlignment="1"/>
    <xf numFmtId="1" fontId="20" fillId="10" borderId="0" xfId="0" applyNumberFormat="1" applyFont="1" applyFill="1" applyAlignment="1" applyProtection="1"/>
    <xf numFmtId="1" fontId="23" fillId="10" borderId="0" xfId="0" applyNumberFormat="1" applyFont="1" applyFill="1" applyAlignment="1"/>
    <xf numFmtId="1" fontId="0" fillId="0" borderId="0" xfId="1" applyNumberFormat="1" applyFont="1" applyFill="1" applyAlignment="1" applyProtection="1">
      <alignment horizontal="center"/>
      <protection locked="0"/>
    </xf>
    <xf numFmtId="1" fontId="0" fillId="10" borderId="0" xfId="0" applyNumberFormat="1" applyFill="1" applyAlignment="1" applyProtection="1">
      <alignment horizontal="center"/>
    </xf>
    <xf numFmtId="1" fontId="23" fillId="11" borderId="0" xfId="0" quotePrefix="1" applyNumberFormat="1" applyFont="1" applyFill="1" applyAlignment="1">
      <alignment horizontal="left"/>
    </xf>
    <xf numFmtId="9" fontId="23" fillId="10" borderId="0" xfId="4" applyFont="1" applyFill="1" applyAlignment="1">
      <alignment horizontal="center"/>
    </xf>
    <xf numFmtId="9" fontId="0" fillId="0" borderId="0" xfId="4" applyFont="1" applyFill="1" applyAlignment="1" applyProtection="1">
      <alignment horizontal="center"/>
      <protection locked="0"/>
    </xf>
    <xf numFmtId="9" fontId="0" fillId="10" borderId="0" xfId="4" applyFont="1" applyFill="1" applyAlignment="1" applyProtection="1">
      <alignment horizontal="center"/>
    </xf>
    <xf numFmtId="1" fontId="0" fillId="0" borderId="0" xfId="4" applyNumberFormat="1" applyFont="1" applyFill="1" applyAlignment="1" applyProtection="1">
      <alignment horizontal="center"/>
      <protection locked="0"/>
    </xf>
    <xf numFmtId="1" fontId="0" fillId="10" borderId="0" xfId="0" quotePrefix="1" applyNumberFormat="1" applyFill="1" applyAlignment="1">
      <alignment horizontal="left"/>
    </xf>
    <xf numFmtId="171" fontId="0" fillId="10" borderId="0" xfId="1" applyNumberFormat="1" applyFont="1" applyFill="1"/>
    <xf numFmtId="1" fontId="0" fillId="11" borderId="0" xfId="0" quotePrefix="1" applyNumberFormat="1" applyFill="1" applyAlignment="1">
      <alignment horizontal="left"/>
    </xf>
    <xf numFmtId="167" fontId="0" fillId="0" borderId="0" xfId="4" applyNumberFormat="1" applyFont="1" applyFill="1" applyAlignment="1" applyProtection="1">
      <alignment horizontal="center"/>
      <protection locked="0"/>
    </xf>
    <xf numFmtId="43" fontId="0" fillId="10" borderId="0" xfId="1" applyFont="1" applyFill="1"/>
    <xf numFmtId="1" fontId="0" fillId="11" borderId="0" xfId="0" applyNumberFormat="1" applyFill="1" applyAlignment="1">
      <alignment horizontal="left"/>
    </xf>
    <xf numFmtId="1" fontId="23" fillId="10" borderId="0" xfId="0" quotePrefix="1" applyNumberFormat="1" applyFont="1" applyFill="1" applyAlignment="1">
      <alignment horizontal="left"/>
    </xf>
    <xf numFmtId="1" fontId="23" fillId="10" borderId="0" xfId="0" applyNumberFormat="1" applyFont="1" applyFill="1" applyAlignment="1">
      <alignment horizontal="left"/>
    </xf>
    <xf numFmtId="3" fontId="0" fillId="11" borderId="0" xfId="0" applyNumberFormat="1" applyFill="1" applyAlignment="1">
      <alignment horizontal="center"/>
    </xf>
    <xf numFmtId="1" fontId="28" fillId="10" borderId="0" xfId="0" applyNumberFormat="1" applyFont="1" applyFill="1" applyAlignment="1" applyProtection="1">
      <alignment horizontal="left"/>
      <protection locked="0"/>
    </xf>
    <xf numFmtId="9" fontId="0" fillId="10" borderId="0" xfId="0" applyNumberFormat="1" applyFill="1" applyAlignment="1" applyProtection="1">
      <alignment horizontal="center"/>
      <protection locked="0"/>
    </xf>
    <xf numFmtId="3" fontId="17" fillId="10" borderId="0" xfId="0" applyNumberFormat="1" applyFont="1" applyFill="1" applyAlignment="1">
      <alignment horizontal="center"/>
    </xf>
    <xf numFmtId="169" fontId="0" fillId="0" borderId="0" xfId="0" applyNumberFormat="1" applyFill="1" applyAlignment="1" applyProtection="1">
      <alignment horizontal="center"/>
      <protection locked="0"/>
    </xf>
    <xf numFmtId="165" fontId="0" fillId="0" borderId="0" xfId="4" applyNumberFormat="1" applyFont="1" applyFill="1" applyAlignment="1" applyProtection="1">
      <alignment horizontal="center"/>
      <protection locked="0"/>
    </xf>
    <xf numFmtId="1" fontId="21" fillId="10" borderId="0" xfId="0" applyNumberFormat="1" applyFont="1" applyFill="1" applyAlignment="1" applyProtection="1">
      <protection locked="0"/>
    </xf>
    <xf numFmtId="0" fontId="0" fillId="9" borderId="0" xfId="0" applyFill="1"/>
    <xf numFmtId="0" fontId="0" fillId="6" borderId="0" xfId="0" applyFill="1"/>
    <xf numFmtId="0" fontId="0" fillId="6" borderId="0" xfId="0" applyFill="1" applyAlignment="1">
      <alignment horizontal="center"/>
    </xf>
    <xf numFmtId="1" fontId="0" fillId="0" borderId="0" xfId="0" applyNumberFormat="1" applyAlignment="1">
      <alignment horizontal="center"/>
    </xf>
    <xf numFmtId="0" fontId="10" fillId="6" borderId="0" xfId="0" applyFont="1" applyFill="1" applyAlignment="1">
      <alignment horizontal="left" indent="4"/>
    </xf>
    <xf numFmtId="0" fontId="10" fillId="8" borderId="0" xfId="0" applyFont="1" applyFill="1" applyAlignment="1">
      <alignment horizontal="left" indent="4"/>
    </xf>
    <xf numFmtId="0" fontId="10" fillId="7" borderId="0" xfId="0" applyFont="1" applyFill="1" applyAlignment="1">
      <alignment horizontal="left" indent="4"/>
    </xf>
    <xf numFmtId="0" fontId="10" fillId="9" borderId="0" xfId="0" applyFont="1" applyFill="1" applyAlignment="1">
      <alignment horizontal="left" indent="4"/>
    </xf>
    <xf numFmtId="0" fontId="0" fillId="8" borderId="0" xfId="0" applyFill="1"/>
    <xf numFmtId="0" fontId="0" fillId="7" borderId="0" xfId="0" applyFill="1"/>
    <xf numFmtId="0" fontId="32" fillId="7" borderId="0" xfId="0" applyFont="1" applyFill="1"/>
    <xf numFmtId="0" fontId="31" fillId="6" borderId="0" xfId="0" applyFont="1" applyFill="1"/>
    <xf numFmtId="167" fontId="0" fillId="6" borderId="0" xfId="0" applyNumberFormat="1" applyFill="1" applyAlignment="1"/>
    <xf numFmtId="0" fontId="11" fillId="0" borderId="0" xfId="0" applyFont="1" applyAlignment="1">
      <alignment horizontal="center" wrapText="1"/>
    </xf>
    <xf numFmtId="0" fontId="1" fillId="0" borderId="0" xfId="0" applyFont="1" applyAlignment="1">
      <alignment horizontal="center" wrapText="1"/>
    </xf>
    <xf numFmtId="167" fontId="0" fillId="7" borderId="0" xfId="0" applyNumberFormat="1" applyFill="1" applyAlignment="1" applyProtection="1">
      <protection locked="0"/>
    </xf>
    <xf numFmtId="167" fontId="0" fillId="8" borderId="0" xfId="0" applyNumberFormat="1" applyFill="1" applyAlignment="1" applyProtection="1">
      <protection locked="0"/>
    </xf>
    <xf numFmtId="167" fontId="0" fillId="9" borderId="0" xfId="0" applyNumberFormat="1" applyFill="1" applyAlignment="1" applyProtection="1">
      <protection locked="0"/>
    </xf>
    <xf numFmtId="167" fontId="0" fillId="13" borderId="0" xfId="0" applyNumberFormat="1" applyFill="1"/>
    <xf numFmtId="167" fontId="0" fillId="8" borderId="0" xfId="0" applyNumberFormat="1" applyFill="1"/>
    <xf numFmtId="167" fontId="0" fillId="7" borderId="0" xfId="0" applyNumberFormat="1" applyFill="1"/>
    <xf numFmtId="9" fontId="0" fillId="9" borderId="0" xfId="0" applyNumberFormat="1" applyFill="1" applyAlignment="1" applyProtection="1">
      <alignment horizontal="center"/>
      <protection locked="0"/>
    </xf>
    <xf numFmtId="167" fontId="0" fillId="9" borderId="0" xfId="0" applyNumberFormat="1" applyFill="1" applyAlignment="1" applyProtection="1">
      <alignment horizontal="center"/>
      <protection locked="0"/>
    </xf>
    <xf numFmtId="167" fontId="0" fillId="9" borderId="0" xfId="4" applyNumberFormat="1" applyFont="1" applyFill="1" applyAlignment="1" applyProtection="1">
      <alignment horizontal="center"/>
      <protection locked="0"/>
    </xf>
    <xf numFmtId="0" fontId="0" fillId="0" borderId="0" xfId="0" applyAlignment="1">
      <alignment horizontal="left" indent="2"/>
    </xf>
    <xf numFmtId="172" fontId="0" fillId="0" borderId="0" xfId="0" applyNumberFormat="1" applyAlignment="1">
      <alignment horizontal="center"/>
    </xf>
    <xf numFmtId="0" fontId="0" fillId="0" borderId="0" xfId="0" applyFont="1" applyAlignment="1">
      <alignment horizontal="center" wrapText="1"/>
    </xf>
    <xf numFmtId="169" fontId="0" fillId="9" borderId="0" xfId="0" applyNumberFormat="1" applyFill="1"/>
    <xf numFmtId="0" fontId="0" fillId="7" borderId="0" xfId="0" applyFill="1" applyAlignment="1">
      <alignment horizontal="center"/>
    </xf>
    <xf numFmtId="167" fontId="0" fillId="0" borderId="0" xfId="0" applyNumberFormat="1" applyAlignment="1">
      <alignment horizontal="center"/>
    </xf>
    <xf numFmtId="169" fontId="0" fillId="0" borderId="0" xfId="0" applyNumberFormat="1" applyAlignment="1">
      <alignment horizontal="center"/>
    </xf>
    <xf numFmtId="167" fontId="0" fillId="14" borderId="0" xfId="0" applyNumberFormat="1" applyFill="1" applyAlignment="1" applyProtection="1">
      <protection locked="0"/>
    </xf>
    <xf numFmtId="167" fontId="0" fillId="14" borderId="0" xfId="0" applyNumberFormat="1" applyFill="1"/>
    <xf numFmtId="167" fontId="0" fillId="6" borderId="0" xfId="0" applyNumberFormat="1" applyFill="1"/>
    <xf numFmtId="167" fontId="0" fillId="0" borderId="0" xfId="0" applyNumberFormat="1" applyFill="1" applyAlignment="1"/>
    <xf numFmtId="167" fontId="0" fillId="13" borderId="0" xfId="0" applyNumberFormat="1" applyFill="1" applyAlignment="1"/>
    <xf numFmtId="169" fontId="0" fillId="15" borderId="0" xfId="0" applyNumberFormat="1" applyFill="1"/>
    <xf numFmtId="0" fontId="0" fillId="8" borderId="0" xfId="0" applyFill="1" applyAlignment="1">
      <alignment horizontal="center"/>
    </xf>
    <xf numFmtId="0" fontId="0" fillId="13" borderId="0" xfId="0" applyFill="1" applyAlignment="1">
      <alignment horizontal="center"/>
    </xf>
    <xf numFmtId="167" fontId="2" fillId="0" borderId="0" xfId="0" applyNumberFormat="1" applyFont="1" applyAlignment="1">
      <alignment horizontal="center"/>
    </xf>
    <xf numFmtId="173" fontId="0" fillId="0" borderId="0" xfId="0" applyNumberFormat="1"/>
    <xf numFmtId="0" fontId="0" fillId="0" borderId="0" xfId="0" applyProtection="1">
      <protection locked="0"/>
    </xf>
    <xf numFmtId="49" fontId="0" fillId="0" borderId="0" xfId="0" applyNumberFormat="1" applyAlignment="1" applyProtection="1">
      <alignment horizontal="center"/>
      <protection locked="0"/>
    </xf>
    <xf numFmtId="167" fontId="0" fillId="0" borderId="0" xfId="0" applyNumberFormat="1" applyAlignment="1">
      <alignment horizontal="center" wrapText="1"/>
    </xf>
    <xf numFmtId="167" fontId="0" fillId="2" borderId="0" xfId="0" applyNumberFormat="1" applyFill="1"/>
    <xf numFmtId="167" fontId="0" fillId="3" borderId="0" xfId="0" applyNumberFormat="1" applyFill="1"/>
    <xf numFmtId="49" fontId="0" fillId="0" borderId="0" xfId="0" applyNumberFormat="1" applyProtection="1">
      <protection locked="0"/>
    </xf>
    <xf numFmtId="49" fontId="0" fillId="2" borderId="0" xfId="0" applyNumberFormat="1" applyFill="1" applyProtection="1">
      <protection locked="0"/>
    </xf>
    <xf numFmtId="49" fontId="0" fillId="0" borderId="0" xfId="0" applyNumberFormat="1" applyFill="1" applyProtection="1">
      <protection locked="0"/>
    </xf>
    <xf numFmtId="0" fontId="0" fillId="3" borderId="0" xfId="0" applyFill="1" applyProtection="1">
      <protection locked="0"/>
    </xf>
    <xf numFmtId="1" fontId="0" fillId="0" borderId="0" xfId="0" applyNumberFormat="1" applyProtection="1">
      <protection locked="0"/>
    </xf>
    <xf numFmtId="49" fontId="0" fillId="0" borderId="0" xfId="0" applyNumberFormat="1" applyFont="1" applyAlignment="1">
      <alignment horizontal="left" wrapText="1"/>
    </xf>
    <xf numFmtId="49" fontId="0" fillId="0" borderId="0" xfId="0" applyNumberFormat="1" applyFont="1" applyAlignment="1">
      <alignment horizontal="right" wrapText="1"/>
    </xf>
    <xf numFmtId="3" fontId="0" fillId="7" borderId="0" xfId="0" applyNumberFormat="1" applyFill="1"/>
    <xf numFmtId="0" fontId="0" fillId="16" borderId="0" xfId="0" applyFill="1"/>
    <xf numFmtId="11" fontId="0" fillId="16" borderId="0" xfId="0" applyNumberFormat="1" applyFill="1" applyAlignment="1">
      <alignment horizontal="center"/>
    </xf>
    <xf numFmtId="165" fontId="1" fillId="0" borderId="0" xfId="0" applyNumberFormat="1" applyFont="1" applyAlignment="1">
      <alignment horizontal="center"/>
    </xf>
    <xf numFmtId="0" fontId="0" fillId="17" borderId="1" xfId="0" applyFill="1" applyBorder="1"/>
    <xf numFmtId="11" fontId="0" fillId="17" borderId="1" xfId="0" applyNumberFormat="1" applyFill="1" applyBorder="1"/>
    <xf numFmtId="0" fontId="0" fillId="17" borderId="1" xfId="0" quotePrefix="1" applyFill="1" applyBorder="1"/>
    <xf numFmtId="0" fontId="0" fillId="0" borderId="2" xfId="0" applyBorder="1"/>
    <xf numFmtId="0" fontId="0" fillId="17" borderId="3" xfId="0" applyFill="1" applyBorder="1"/>
    <xf numFmtId="0" fontId="0" fillId="17" borderId="4" xfId="0" applyFill="1" applyBorder="1"/>
    <xf numFmtId="0" fontId="0" fillId="0" borderId="5" xfId="0" applyBorder="1"/>
    <xf numFmtId="0" fontId="0" fillId="17" borderId="6" xfId="0" applyFill="1" applyBorder="1"/>
    <xf numFmtId="0" fontId="0" fillId="0" borderId="7" xfId="0" applyBorder="1"/>
    <xf numFmtId="0" fontId="0" fillId="17" borderId="8" xfId="0" quotePrefix="1" applyFill="1" applyBorder="1"/>
    <xf numFmtId="0" fontId="0" fillId="17" borderId="9" xfId="0" applyFill="1" applyBorder="1"/>
    <xf numFmtId="0" fontId="2" fillId="0" borderId="10" xfId="0" applyFont="1" applyBorder="1" applyAlignment="1">
      <alignment horizontal="center" wrapText="1"/>
    </xf>
    <xf numFmtId="0" fontId="0" fillId="0" borderId="11" xfId="0" applyBorder="1" applyAlignment="1">
      <alignment wrapText="1"/>
    </xf>
    <xf numFmtId="11" fontId="0" fillId="16" borderId="4" xfId="0" applyNumberFormat="1" applyFill="1" applyBorder="1"/>
    <xf numFmtId="11" fontId="0" fillId="16" borderId="6" xfId="0" applyNumberFormat="1" applyFill="1" applyBorder="1"/>
    <xf numFmtId="0" fontId="3" fillId="0" borderId="5" xfId="0" applyFont="1" applyBorder="1"/>
    <xf numFmtId="11" fontId="0" fillId="16" borderId="9" xfId="0" applyNumberFormat="1" applyFill="1" applyBorder="1"/>
    <xf numFmtId="0" fontId="0" fillId="0" borderId="13" xfId="0" applyBorder="1"/>
    <xf numFmtId="0" fontId="0" fillId="0" borderId="14" xfId="0" applyBorder="1"/>
    <xf numFmtId="0" fontId="0" fillId="0" borderId="15" xfId="0" applyBorder="1"/>
    <xf numFmtId="11" fontId="0" fillId="16" borderId="16" xfId="0" applyNumberFormat="1" applyFill="1" applyBorder="1"/>
    <xf numFmtId="11" fontId="2" fillId="16" borderId="17" xfId="0" applyNumberFormat="1" applyFont="1" applyFill="1" applyBorder="1"/>
    <xf numFmtId="11" fontId="0" fillId="16" borderId="17" xfId="0" applyNumberFormat="1" applyFill="1" applyBorder="1"/>
    <xf numFmtId="11" fontId="0" fillId="0" borderId="17" xfId="0" applyNumberFormat="1" applyBorder="1"/>
    <xf numFmtId="164" fontId="3" fillId="16" borderId="17" xfId="0" applyNumberFormat="1" applyFont="1" applyFill="1" applyBorder="1" applyAlignment="1">
      <alignment horizontal="center"/>
    </xf>
    <xf numFmtId="11" fontId="0" fillId="16" borderId="18" xfId="0" applyNumberForma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17" borderId="2" xfId="0" applyFill="1" applyBorder="1"/>
    <xf numFmtId="0" fontId="0" fillId="17" borderId="5" xfId="0" applyFill="1" applyBorder="1"/>
    <xf numFmtId="11" fontId="0" fillId="17" borderId="5" xfId="0" quotePrefix="1" applyNumberFormat="1" applyFill="1" applyBorder="1"/>
    <xf numFmtId="11" fontId="0" fillId="17" borderId="5" xfId="0" applyNumberFormat="1" applyFill="1" applyBorder="1"/>
    <xf numFmtId="0" fontId="0" fillId="17" borderId="5" xfId="0" quotePrefix="1" applyFill="1" applyBorder="1"/>
    <xf numFmtId="0" fontId="0" fillId="17" borderId="7" xfId="0" quotePrefix="1" applyFill="1" applyBorder="1"/>
    <xf numFmtId="0" fontId="2" fillId="0" borderId="12" xfId="0" applyFont="1" applyBorder="1" applyAlignment="1">
      <alignment horizontal="center" wrapText="1"/>
    </xf>
    <xf numFmtId="0" fontId="2" fillId="0" borderId="28" xfId="0" applyFont="1" applyBorder="1" applyAlignment="1">
      <alignment horizontal="center" wrapText="1"/>
    </xf>
    <xf numFmtId="11" fontId="0" fillId="16" borderId="29" xfId="0" applyNumberFormat="1" applyFill="1" applyBorder="1" applyAlignment="1">
      <alignment horizontal="center"/>
    </xf>
    <xf numFmtId="11" fontId="0" fillId="16" borderId="30" xfId="0" applyNumberFormat="1" applyFill="1" applyBorder="1" applyAlignment="1">
      <alignment horizontal="center"/>
    </xf>
    <xf numFmtId="11" fontId="0" fillId="16" borderId="31" xfId="0" applyNumberForma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3" fontId="0" fillId="0" borderId="0" xfId="0" applyNumberFormat="1" applyAlignment="1"/>
    <xf numFmtId="3" fontId="0" fillId="4" borderId="0" xfId="0" applyNumberFormat="1" applyFill="1"/>
    <xf numFmtId="169" fontId="0" fillId="0" borderId="0" xfId="0" applyNumberFormat="1" applyFill="1"/>
    <xf numFmtId="10" fontId="2" fillId="0" borderId="0" xfId="0" applyNumberFormat="1" applyFont="1"/>
    <xf numFmtId="0" fontId="2" fillId="0" borderId="32" xfId="0" applyFont="1" applyBorder="1" applyAlignment="1">
      <alignment horizontal="center" wrapText="1"/>
    </xf>
    <xf numFmtId="3" fontId="2" fillId="0" borderId="0" xfId="0" applyNumberFormat="1" applyFont="1" applyBorder="1" applyAlignment="1">
      <alignment horizontal="center" wrapText="1"/>
    </xf>
    <xf numFmtId="0" fontId="2" fillId="0" borderId="33" xfId="0" applyFont="1" applyBorder="1" applyAlignment="1">
      <alignment horizontal="center" wrapText="1"/>
    </xf>
    <xf numFmtId="0" fontId="0" fillId="0" borderId="32" xfId="0" applyBorder="1" applyAlignment="1">
      <alignment horizontal="center"/>
    </xf>
    <xf numFmtId="3" fontId="3" fillId="0" borderId="0" xfId="0" applyNumberFormat="1" applyFont="1" applyBorder="1" applyAlignment="1">
      <alignment horizontal="center" wrapText="1"/>
    </xf>
    <xf numFmtId="3" fontId="0" fillId="0" borderId="33" xfId="0" applyNumberFormat="1" applyBorder="1" applyAlignment="1">
      <alignment horizontal="center"/>
    </xf>
    <xf numFmtId="3" fontId="0" fillId="0" borderId="0" xfId="0" applyNumberFormat="1" applyBorder="1" applyAlignment="1">
      <alignment horizontal="center" wrapText="1"/>
    </xf>
    <xf numFmtId="0" fontId="0" fillId="0" borderId="34" xfId="0" applyBorder="1" applyAlignment="1">
      <alignment horizontal="center"/>
    </xf>
    <xf numFmtId="3" fontId="2" fillId="0" borderId="35" xfId="0" applyNumberFormat="1" applyFont="1" applyBorder="1" applyAlignment="1">
      <alignment horizontal="center" wrapText="1"/>
    </xf>
    <xf numFmtId="3" fontId="2" fillId="0" borderId="36" xfId="0" applyNumberFormat="1" applyFont="1" applyBorder="1" applyAlignment="1">
      <alignment horizontal="center" wrapText="1"/>
    </xf>
    <xf numFmtId="0" fontId="0" fillId="18" borderId="0" xfId="0" applyFill="1" applyAlignment="1">
      <alignment horizontal="center"/>
    </xf>
    <xf numFmtId="0" fontId="2" fillId="18" borderId="0" xfId="0" applyFont="1" applyFill="1" applyAlignment="1">
      <alignment horizontal="center" wrapText="1"/>
    </xf>
    <xf numFmtId="165" fontId="0" fillId="18" borderId="0" xfId="0" applyNumberFormat="1" applyFill="1" applyAlignment="1">
      <alignment horizontal="center"/>
    </xf>
    <xf numFmtId="49" fontId="0" fillId="18" borderId="0" xfId="0" applyNumberFormat="1" applyFill="1" applyAlignment="1">
      <alignment horizontal="center" wrapText="1"/>
    </xf>
    <xf numFmtId="0" fontId="2" fillId="18" borderId="0" xfId="0" applyFont="1" applyFill="1" applyAlignment="1">
      <alignment horizontal="center"/>
    </xf>
    <xf numFmtId="165" fontId="2" fillId="18" borderId="0" xfId="0" applyNumberFormat="1" applyFont="1" applyFill="1" applyAlignment="1">
      <alignment horizontal="center"/>
    </xf>
    <xf numFmtId="0" fontId="0" fillId="18" borderId="0" xfId="0" applyFill="1"/>
    <xf numFmtId="3" fontId="2" fillId="18" borderId="0" xfId="0" applyNumberFormat="1" applyFont="1" applyFill="1" applyAlignment="1">
      <alignment horizontal="center" wrapText="1"/>
    </xf>
    <xf numFmtId="3" fontId="3" fillId="18" borderId="0" xfId="0" applyNumberFormat="1" applyFont="1" applyFill="1" applyAlignment="1">
      <alignment horizontal="center" wrapText="1"/>
    </xf>
    <xf numFmtId="3" fontId="0" fillId="18" borderId="0" xfId="0" applyNumberFormat="1" applyFill="1" applyAlignment="1">
      <alignment horizontal="center" wrapText="1"/>
    </xf>
    <xf numFmtId="1" fontId="0" fillId="0" borderId="0" xfId="0" applyNumberFormat="1" applyAlignment="1">
      <alignment horizontal="right"/>
    </xf>
    <xf numFmtId="49" fontId="2" fillId="0" borderId="0" xfId="0" applyNumberFormat="1" applyFont="1"/>
    <xf numFmtId="0" fontId="0" fillId="0" borderId="0" xfId="0" applyAlignment="1">
      <alignment horizontal="right" wrapText="1"/>
    </xf>
    <xf numFmtId="168" fontId="0" fillId="2" borderId="0" xfId="0" applyNumberFormat="1" applyFill="1"/>
    <xf numFmtId="164" fontId="10" fillId="0" borderId="0" xfId="0" applyNumberFormat="1" applyFont="1" applyAlignment="1">
      <alignment horizontal="center" wrapText="1"/>
    </xf>
    <xf numFmtId="0" fontId="0" fillId="0" borderId="0" xfId="0" applyFill="1"/>
    <xf numFmtId="3" fontId="33" fillId="0" borderId="0" xfId="0" applyNumberFormat="1" applyFont="1" applyFill="1" applyBorder="1" applyAlignment="1">
      <alignment horizontal="right"/>
    </xf>
    <xf numFmtId="9" fontId="31" fillId="0" borderId="0" xfId="0" applyNumberFormat="1" applyFont="1" applyAlignment="1">
      <alignment horizontal="center" wrapText="1"/>
    </xf>
    <xf numFmtId="168" fontId="0" fillId="0" borderId="0" xfId="0" applyNumberFormat="1" applyAlignment="1">
      <alignment horizontal="center"/>
    </xf>
    <xf numFmtId="0" fontId="0" fillId="0" borderId="38" xfId="0" applyBorder="1" applyAlignment="1">
      <alignment horizontal="center" wrapText="1"/>
    </xf>
    <xf numFmtId="0" fontId="0" fillId="0" borderId="38" xfId="0" applyBorder="1"/>
    <xf numFmtId="169" fontId="0" fillId="9" borderId="0" xfId="0" applyNumberFormat="1" applyFill="1" applyAlignment="1">
      <alignment horizontal="center"/>
    </xf>
    <xf numFmtId="169" fontId="0" fillId="14" borderId="0" xfId="0" applyNumberFormat="1" applyFill="1"/>
    <xf numFmtId="167" fontId="0" fillId="0" borderId="0" xfId="0" applyNumberFormat="1" applyFill="1" applyAlignment="1">
      <alignment horizontal="center"/>
    </xf>
    <xf numFmtId="0" fontId="2" fillId="0" borderId="0" xfId="0" applyFont="1" applyFill="1" applyAlignment="1">
      <alignment horizontal="center"/>
    </xf>
    <xf numFmtId="0" fontId="10" fillId="19" borderId="0" xfId="0" applyFont="1" applyFill="1" applyAlignment="1">
      <alignment horizontal="left" indent="2"/>
    </xf>
    <xf numFmtId="0" fontId="10" fillId="19" borderId="0" xfId="0" applyFont="1" applyFill="1" applyAlignment="1">
      <alignment horizontal="left" indent="4"/>
    </xf>
    <xf numFmtId="169" fontId="0" fillId="19" borderId="0" xfId="0" applyNumberFormat="1" applyFill="1"/>
    <xf numFmtId="4" fontId="0" fillId="7" borderId="0" xfId="0" applyNumberFormat="1" applyFill="1"/>
    <xf numFmtId="4" fontId="0" fillId="0" borderId="0" xfId="0" applyNumberFormat="1" applyAlignment="1">
      <alignment horizontal="center"/>
    </xf>
    <xf numFmtId="4" fontId="0" fillId="0" borderId="0" xfId="0" applyNumberFormat="1" applyFill="1"/>
    <xf numFmtId="4" fontId="0" fillId="9" borderId="0" xfId="0" applyNumberFormat="1" applyFill="1" applyAlignment="1" applyProtection="1">
      <protection locked="0"/>
    </xf>
    <xf numFmtId="4" fontId="0" fillId="8" borderId="0" xfId="0" applyNumberFormat="1" applyFill="1"/>
    <xf numFmtId="164" fontId="31" fillId="0" borderId="0" xfId="0" applyNumberFormat="1" applyFont="1" applyAlignment="1">
      <alignment horizontal="center" wrapText="1"/>
    </xf>
    <xf numFmtId="1" fontId="2" fillId="16" borderId="0" xfId="0" applyNumberFormat="1" applyFont="1" applyFill="1" applyAlignment="1">
      <alignment horizontal="center"/>
    </xf>
    <xf numFmtId="169" fontId="0" fillId="0" borderId="0" xfId="0" applyNumberFormat="1" applyAlignment="1">
      <alignment horizontal="right" wrapText="1"/>
    </xf>
    <xf numFmtId="4" fontId="0" fillId="0" borderId="0" xfId="0" applyNumberFormat="1" applyAlignment="1">
      <alignment horizontal="right"/>
    </xf>
    <xf numFmtId="167" fontId="0" fillId="0" borderId="0" xfId="0" applyNumberFormat="1" applyAlignment="1">
      <alignment horizontal="left"/>
    </xf>
    <xf numFmtId="169" fontId="0" fillId="8" borderId="0" xfId="0" applyNumberFormat="1" applyFill="1"/>
    <xf numFmtId="4" fontId="0" fillId="0" borderId="38" xfId="0" applyNumberFormat="1" applyBorder="1" applyAlignment="1">
      <alignment horizontal="right"/>
    </xf>
    <xf numFmtId="0" fontId="34" fillId="0" borderId="0" xfId="0" applyFont="1" applyBorder="1" applyAlignment="1">
      <alignment vertical="top" wrapText="1"/>
    </xf>
    <xf numFmtId="0" fontId="35" fillId="0" borderId="0" xfId="0" applyFont="1" applyBorder="1" applyAlignment="1">
      <alignment horizontal="center" wrapText="1"/>
    </xf>
    <xf numFmtId="0" fontId="35" fillId="0" borderId="0" xfId="0" applyFont="1" applyBorder="1"/>
    <xf numFmtId="0" fontId="35" fillId="0" borderId="0" xfId="0" applyFont="1" applyAlignment="1">
      <alignment horizontal="center"/>
    </xf>
    <xf numFmtId="0" fontId="35" fillId="0" borderId="0" xfId="0" applyFont="1"/>
    <xf numFmtId="0" fontId="35" fillId="0" borderId="0" xfId="0" applyFont="1" applyAlignment="1">
      <alignment horizontal="center" wrapText="1"/>
    </xf>
    <xf numFmtId="0" fontId="36" fillId="0" borderId="0" xfId="0" applyFont="1" applyAlignment="1">
      <alignment horizontal="center" wrapText="1"/>
    </xf>
    <xf numFmtId="11" fontId="35" fillId="0" borderId="0" xfId="0" applyNumberFormat="1" applyFont="1"/>
    <xf numFmtId="0" fontId="36" fillId="0" borderId="0" xfId="0" applyFont="1" applyAlignment="1">
      <alignment horizontal="center"/>
    </xf>
    <xf numFmtId="0" fontId="37" fillId="0" borderId="0" xfId="0" applyFont="1" applyBorder="1" applyAlignment="1">
      <alignment horizontal="center" wrapText="1"/>
    </xf>
    <xf numFmtId="0" fontId="37" fillId="0" borderId="0" xfId="0" applyFont="1" applyBorder="1" applyAlignment="1">
      <alignment wrapText="1"/>
    </xf>
    <xf numFmtId="0" fontId="37" fillId="0" borderId="0" xfId="0" applyFont="1" applyAlignment="1">
      <alignment horizontal="center" wrapText="1"/>
    </xf>
    <xf numFmtId="3" fontId="0" fillId="0" borderId="0" xfId="0" applyNumberFormat="1" applyFont="1" applyFill="1" applyAlignment="1">
      <alignment horizontal="right"/>
    </xf>
    <xf numFmtId="0" fontId="31" fillId="0" borderId="0" xfId="0" applyFont="1"/>
    <xf numFmtId="0" fontId="31" fillId="19" borderId="0" xfId="0" applyFont="1" applyFill="1"/>
    <xf numFmtId="172" fontId="0" fillId="19" borderId="0" xfId="0" applyNumberFormat="1" applyFill="1" applyAlignment="1">
      <alignment horizontal="center"/>
    </xf>
    <xf numFmtId="2" fontId="0" fillId="16" borderId="0" xfId="0" applyNumberFormat="1" applyFill="1" applyAlignment="1">
      <alignment horizontal="center"/>
    </xf>
    <xf numFmtId="0" fontId="38" fillId="0" borderId="0" xfId="0" applyFont="1"/>
    <xf numFmtId="167" fontId="38" fillId="0" borderId="0" xfId="0" applyNumberFormat="1" applyFont="1"/>
    <xf numFmtId="0" fontId="38" fillId="0" borderId="0" xfId="0" applyFont="1" applyAlignment="1">
      <alignment horizontal="left" indent="2"/>
    </xf>
    <xf numFmtId="3" fontId="38" fillId="0" borderId="0" xfId="0" applyNumberFormat="1" applyFont="1"/>
    <xf numFmtId="167" fontId="0" fillId="0" borderId="0" xfId="0" applyNumberFormat="1" applyFont="1"/>
    <xf numFmtId="1" fontId="17" fillId="0" borderId="0" xfId="0" quotePrefix="1" applyNumberFormat="1" applyFont="1" applyFill="1" applyAlignment="1">
      <alignment horizontal="left"/>
    </xf>
    <xf numFmtId="0" fontId="0" fillId="0" borderId="0" xfId="0" applyFill="1" applyAlignment="1"/>
    <xf numFmtId="0" fontId="0" fillId="0" borderId="0" xfId="0" applyFill="1" applyAlignment="1">
      <alignment horizontal="center"/>
    </xf>
    <xf numFmtId="1" fontId="17" fillId="0" borderId="0" xfId="0" applyNumberFormat="1" applyFont="1" applyFill="1" applyAlignment="1">
      <alignment horizontal="left"/>
    </xf>
    <xf numFmtId="3" fontId="17" fillId="0" borderId="0" xfId="0" applyNumberFormat="1" applyFont="1" applyFill="1" applyBorder="1" applyAlignment="1" applyProtection="1">
      <alignment horizontal="center"/>
    </xf>
    <xf numFmtId="167" fontId="0" fillId="13" borderId="0" xfId="0" applyNumberFormat="1" applyFill="1" applyAlignment="1">
      <alignment horizontal="center"/>
    </xf>
    <xf numFmtId="167" fontId="0" fillId="19" borderId="0" xfId="0" applyNumberFormat="1" applyFill="1" applyAlignment="1">
      <alignment horizontal="center"/>
    </xf>
    <xf numFmtId="169" fontId="0" fillId="14" borderId="0" xfId="0" applyNumberFormat="1" applyFill="1" applyAlignment="1">
      <alignment horizontal="center"/>
    </xf>
    <xf numFmtId="169" fontId="0" fillId="8" borderId="0" xfId="0" applyNumberFormat="1" applyFill="1" applyAlignment="1">
      <alignment horizontal="center"/>
    </xf>
    <xf numFmtId="169" fontId="0" fillId="7" borderId="0" xfId="0" applyNumberFormat="1" applyFill="1" applyAlignment="1">
      <alignment horizontal="center"/>
    </xf>
    <xf numFmtId="0" fontId="0" fillId="20" borderId="0" xfId="0" applyFill="1" applyAlignment="1">
      <alignment horizontal="center"/>
    </xf>
    <xf numFmtId="0" fontId="0" fillId="0" borderId="0" xfId="0" applyAlignment="1">
      <alignment vertical="top"/>
    </xf>
    <xf numFmtId="0" fontId="0" fillId="19" borderId="0" xfId="0" applyFill="1" applyAlignment="1">
      <alignment horizontal="center"/>
    </xf>
    <xf numFmtId="9" fontId="31" fillId="16" borderId="0" xfId="0" applyNumberFormat="1" applyFont="1" applyFill="1" applyAlignment="1">
      <alignment horizontal="center" wrapText="1"/>
    </xf>
    <xf numFmtId="3" fontId="0" fillId="19" borderId="0" xfId="0" applyNumberFormat="1" applyFill="1"/>
    <xf numFmtId="0" fontId="0" fillId="19" borderId="0" xfId="0" applyFill="1"/>
    <xf numFmtId="0" fontId="31" fillId="0" borderId="0" xfId="0" applyFont="1" applyAlignment="1">
      <alignment horizontal="center" wrapText="1"/>
    </xf>
    <xf numFmtId="167" fontId="31" fillId="0" borderId="0" xfId="0" applyNumberFormat="1" applyFont="1"/>
    <xf numFmtId="167" fontId="31" fillId="19" borderId="0" xfId="0" applyNumberFormat="1" applyFont="1" applyFill="1"/>
    <xf numFmtId="0" fontId="39" fillId="0" borderId="0" xfId="0" applyFont="1" applyAlignment="1">
      <alignment vertical="top"/>
    </xf>
    <xf numFmtId="0" fontId="34" fillId="0" borderId="0" xfId="0" applyFont="1" applyBorder="1" applyAlignment="1">
      <alignment vertical="top"/>
    </xf>
    <xf numFmtId="0" fontId="35" fillId="0" borderId="0" xfId="0" applyFont="1" applyBorder="1" applyAlignment="1"/>
    <xf numFmtId="0" fontId="35" fillId="0" borderId="0" xfId="0" applyFont="1" applyAlignment="1"/>
    <xf numFmtId="0" fontId="0" fillId="0" borderId="0" xfId="0" applyFont="1" applyAlignment="1">
      <alignment horizontal="center"/>
    </xf>
    <xf numFmtId="169" fontId="0" fillId="0" borderId="0" xfId="0" applyNumberFormat="1" applyFill="1" applyAlignment="1">
      <alignment horizontal="center"/>
    </xf>
    <xf numFmtId="3" fontId="0" fillId="0" borderId="0" xfId="0" applyNumberFormat="1" applyAlignment="1">
      <alignment horizontal="right"/>
    </xf>
    <xf numFmtId="165" fontId="0" fillId="0" borderId="0" xfId="0" applyNumberFormat="1" applyAlignment="1">
      <alignment horizontal="right"/>
    </xf>
    <xf numFmtId="3" fontId="2" fillId="0" borderId="0" xfId="0" applyNumberFormat="1" applyFont="1" applyAlignment="1">
      <alignment horizontal="right"/>
    </xf>
    <xf numFmtId="4" fontId="6" fillId="0" borderId="0" xfId="0" applyNumberFormat="1" applyFont="1" applyAlignment="1">
      <alignment horizontal="center"/>
    </xf>
    <xf numFmtId="0" fontId="3" fillId="0" borderId="0" xfId="0" applyFont="1" applyFill="1" applyBorder="1" applyAlignment="1">
      <alignment horizontal="center" wrapText="1"/>
    </xf>
    <xf numFmtId="0" fontId="38"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9" fontId="2" fillId="0" borderId="0" xfId="0" applyNumberFormat="1" applyFont="1" applyAlignment="1">
      <alignment horizontal="center"/>
    </xf>
    <xf numFmtId="3" fontId="10" fillId="0" borderId="0" xfId="0" applyNumberFormat="1" applyFont="1" applyAlignment="1">
      <alignment horizontal="center" wrapText="1"/>
    </xf>
    <xf numFmtId="2" fontId="0" fillId="0" borderId="0" xfId="0" applyNumberFormat="1" applyAlignment="1">
      <alignment horizontal="center"/>
    </xf>
    <xf numFmtId="167" fontId="0" fillId="19" borderId="0" xfId="0" applyNumberFormat="1" applyFill="1"/>
    <xf numFmtId="0" fontId="2" fillId="0" borderId="0" xfId="0" applyFont="1" applyBorder="1" applyAlignment="1">
      <alignment horizontal="center" wrapText="1"/>
    </xf>
    <xf numFmtId="0" fontId="0" fillId="0" borderId="0" xfId="0" applyBorder="1" applyAlignment="1">
      <alignment horizontal="center"/>
    </xf>
    <xf numFmtId="0" fontId="0" fillId="0" borderId="35" xfId="0" applyBorder="1" applyAlignment="1">
      <alignment horizontal="center"/>
    </xf>
    <xf numFmtId="0" fontId="41" fillId="0" borderId="0" xfId="0" applyFont="1" applyFill="1"/>
    <xf numFmtId="0" fontId="42" fillId="0" borderId="0" xfId="0" applyFont="1" applyFill="1" applyAlignment="1">
      <alignment horizontal="left"/>
    </xf>
    <xf numFmtId="0" fontId="0" fillId="0" borderId="0" xfId="0" applyFill="1" applyAlignment="1">
      <alignment vertical="top"/>
    </xf>
    <xf numFmtId="0" fontId="0" fillId="0" borderId="0" xfId="0" applyFont="1" applyFill="1"/>
    <xf numFmtId="0" fontId="0" fillId="0" borderId="0" xfId="0" applyFill="1" applyAlignment="1">
      <alignment horizontal="center" wrapText="1"/>
    </xf>
    <xf numFmtId="0" fontId="42" fillId="0" borderId="0" xfId="0" applyFont="1" applyFill="1" applyAlignment="1">
      <alignment horizontal="right"/>
    </xf>
    <xf numFmtId="0" fontId="10" fillId="0" borderId="0" xfId="0" applyFont="1" applyFill="1" applyAlignment="1">
      <alignment horizontal="center" wrapText="1"/>
    </xf>
    <xf numFmtId="11" fontId="2" fillId="19" borderId="0" xfId="0" applyNumberFormat="1" applyFont="1" applyFill="1" applyAlignment="1">
      <alignment horizontal="center" wrapText="1"/>
    </xf>
    <xf numFmtId="4" fontId="0" fillId="0" borderId="41" xfId="0" applyNumberFormat="1" applyBorder="1" applyAlignment="1">
      <alignment horizontal="right"/>
    </xf>
    <xf numFmtId="169" fontId="0" fillId="0" borderId="41" xfId="0" applyNumberFormat="1" applyBorder="1"/>
    <xf numFmtId="4" fontId="0" fillId="0" borderId="26" xfId="0" applyNumberFormat="1" applyBorder="1" applyAlignment="1">
      <alignment horizontal="right"/>
    </xf>
    <xf numFmtId="4" fontId="0" fillId="0" borderId="0" xfId="0" applyNumberFormat="1" applyBorder="1" applyAlignment="1">
      <alignment horizontal="right"/>
    </xf>
    <xf numFmtId="0" fontId="43" fillId="0" borderId="0" xfId="0" applyFont="1"/>
    <xf numFmtId="0" fontId="0" fillId="15" borderId="0" xfId="0" applyFill="1"/>
    <xf numFmtId="0" fontId="0" fillId="15" borderId="0" xfId="0" applyFill="1" applyAlignment="1">
      <alignment horizontal="center"/>
    </xf>
    <xf numFmtId="0" fontId="43" fillId="15" borderId="0" xfId="0" applyFont="1" applyFill="1"/>
    <xf numFmtId="3" fontId="43" fillId="15" borderId="0" xfId="0" applyNumberFormat="1" applyFont="1" applyFill="1" applyAlignment="1">
      <alignment horizontal="left"/>
    </xf>
    <xf numFmtId="3" fontId="0" fillId="15" borderId="0" xfId="0" applyNumberFormat="1" applyFill="1" applyAlignment="1">
      <alignment horizontal="center" wrapText="1"/>
    </xf>
    <xf numFmtId="0" fontId="43" fillId="15" borderId="0" xfId="0" applyFont="1" applyFill="1" applyAlignment="1">
      <alignment horizontal="center"/>
    </xf>
    <xf numFmtId="165" fontId="43" fillId="15" borderId="0" xfId="0" applyNumberFormat="1" applyFont="1" applyFill="1" applyAlignment="1">
      <alignment horizontal="center"/>
    </xf>
    <xf numFmtId="0" fontId="43" fillId="0" borderId="0" xfId="0" applyFont="1" applyFill="1" applyAlignment="1">
      <alignment horizontal="center"/>
    </xf>
    <xf numFmtId="0" fontId="43" fillId="0" borderId="0" xfId="0" applyFont="1" applyFill="1" applyAlignment="1"/>
    <xf numFmtId="174" fontId="38" fillId="0" borderId="0" xfId="0" applyNumberFormat="1" applyFont="1" applyAlignment="1">
      <alignment horizontal="left"/>
    </xf>
    <xf numFmtId="0" fontId="43" fillId="15" borderId="0" xfId="0" applyFont="1" applyFill="1" applyAlignment="1">
      <alignment horizontal="left"/>
    </xf>
    <xf numFmtId="0" fontId="34" fillId="0" borderId="0" xfId="0" applyFont="1" applyFill="1" applyBorder="1" applyAlignment="1">
      <alignment vertical="top"/>
    </xf>
    <xf numFmtId="49" fontId="2" fillId="0" borderId="0" xfId="0" applyNumberFormat="1" applyFont="1" applyFill="1" applyAlignment="1">
      <alignment horizontal="center" wrapText="1"/>
    </xf>
    <xf numFmtId="3" fontId="2" fillId="0" borderId="0" xfId="0" applyNumberFormat="1" applyFont="1" applyAlignment="1">
      <alignment horizontal="left"/>
    </xf>
    <xf numFmtId="3" fontId="0" fillId="0" borderId="0" xfId="0" applyNumberFormat="1" applyAlignment="1">
      <alignment horizontal="left"/>
    </xf>
    <xf numFmtId="165" fontId="0" fillId="0" borderId="0" xfId="0" applyNumberFormat="1" applyAlignment="1">
      <alignment horizontal="left"/>
    </xf>
    <xf numFmtId="9" fontId="0" fillId="0" borderId="0" xfId="0" applyNumberFormat="1" applyAlignment="1">
      <alignment horizontal="left"/>
    </xf>
    <xf numFmtId="0" fontId="47" fillId="21" borderId="43" xfId="0" applyFont="1" applyFill="1" applyBorder="1" applyAlignment="1">
      <alignment horizontal="center"/>
    </xf>
    <xf numFmtId="0" fontId="47" fillId="21" borderId="43" xfId="0" applyFont="1" applyFill="1" applyBorder="1" applyAlignment="1">
      <alignment horizontal="center" wrapText="1"/>
    </xf>
    <xf numFmtId="0" fontId="47" fillId="21" borderId="44" xfId="0" applyFont="1" applyFill="1" applyBorder="1" applyAlignment="1">
      <alignment horizontal="center" wrapText="1"/>
    </xf>
    <xf numFmtId="0" fontId="46" fillId="21" borderId="42" xfId="0" applyFont="1" applyFill="1" applyBorder="1" applyAlignment="1">
      <alignment horizontal="center"/>
    </xf>
    <xf numFmtId="8" fontId="46" fillId="21" borderId="42" xfId="0" applyNumberFormat="1" applyFont="1" applyFill="1" applyBorder="1" applyAlignment="1">
      <alignment horizontal="right"/>
    </xf>
    <xf numFmtId="0" fontId="47" fillId="21" borderId="44" xfId="0" applyFont="1" applyFill="1" applyBorder="1" applyAlignment="1">
      <alignment horizontal="center"/>
    </xf>
    <xf numFmtId="0" fontId="46" fillId="21" borderId="45" xfId="0" applyFont="1" applyFill="1" applyBorder="1"/>
    <xf numFmtId="0" fontId="48" fillId="21" borderId="46" xfId="0" applyFont="1" applyFill="1" applyBorder="1" applyAlignment="1">
      <alignment horizontal="right"/>
    </xf>
    <xf numFmtId="0" fontId="46" fillId="21" borderId="47" xfId="0" applyFont="1" applyFill="1" applyBorder="1"/>
    <xf numFmtId="0" fontId="48" fillId="21" borderId="48" xfId="0" applyFont="1" applyFill="1" applyBorder="1" applyAlignment="1">
      <alignment horizontal="right"/>
    </xf>
    <xf numFmtId="0" fontId="0" fillId="21" borderId="47" xfId="0" applyFill="1" applyBorder="1" applyAlignment="1">
      <alignment wrapText="1"/>
    </xf>
    <xf numFmtId="0" fontId="0" fillId="21" borderId="48" xfId="0" applyFill="1" applyBorder="1"/>
    <xf numFmtId="3" fontId="48" fillId="21" borderId="48" xfId="0" applyNumberFormat="1" applyFont="1" applyFill="1" applyBorder="1" applyAlignment="1">
      <alignment horizontal="right"/>
    </xf>
    <xf numFmtId="0" fontId="0" fillId="21" borderId="49" xfId="0" applyFill="1" applyBorder="1" applyAlignment="1">
      <alignment wrapText="1"/>
    </xf>
    <xf numFmtId="0" fontId="0" fillId="21" borderId="50" xfId="0" applyFill="1" applyBorder="1"/>
    <xf numFmtId="0" fontId="0" fillId="22" borderId="0" xfId="0" applyFill="1"/>
    <xf numFmtId="0" fontId="46" fillId="21" borderId="49" xfId="0" applyFont="1" applyFill="1" applyBorder="1"/>
    <xf numFmtId="3" fontId="48" fillId="21" borderId="50" xfId="0" applyNumberFormat="1" applyFont="1" applyFill="1" applyBorder="1" applyAlignment="1">
      <alignment horizontal="right"/>
    </xf>
    <xf numFmtId="0" fontId="0" fillId="0" borderId="0" xfId="0" applyAlignment="1">
      <alignment horizontal="center"/>
    </xf>
    <xf numFmtId="0" fontId="13" fillId="0" borderId="0" xfId="0" applyFont="1" applyAlignment="1">
      <alignment horizontal="center"/>
    </xf>
    <xf numFmtId="0" fontId="49" fillId="0" borderId="0" xfId="0" applyFont="1"/>
    <xf numFmtId="6" fontId="0" fillId="0" borderId="0" xfId="0" applyNumberFormat="1"/>
    <xf numFmtId="0" fontId="50" fillId="0" borderId="0" xfId="0" applyFont="1"/>
    <xf numFmtId="6" fontId="0" fillId="23" borderId="1" xfId="0" applyNumberFormat="1" applyFill="1" applyBorder="1"/>
    <xf numFmtId="0" fontId="0" fillId="0" borderId="1" xfId="0" applyBorder="1"/>
    <xf numFmtId="0" fontId="10" fillId="19" borderId="1" xfId="0" applyFont="1" applyFill="1" applyBorder="1" applyAlignment="1">
      <alignment horizontal="left" indent="4"/>
    </xf>
    <xf numFmtId="6" fontId="0" fillId="0" borderId="1" xfId="0" applyNumberFormat="1" applyBorder="1"/>
    <xf numFmtId="10" fontId="0" fillId="0" borderId="1" xfId="0" applyNumberFormat="1" applyBorder="1"/>
    <xf numFmtId="0" fontId="0" fillId="24" borderId="0" xfId="0" applyFill="1"/>
    <xf numFmtId="0" fontId="0" fillId="7" borderId="1" xfId="0" applyFill="1" applyBorder="1"/>
    <xf numFmtId="0" fontId="49" fillId="7" borderId="0" xfId="0" applyFont="1" applyFill="1"/>
    <xf numFmtId="0" fontId="49" fillId="8" borderId="0" xfId="0" applyFont="1" applyFill="1"/>
    <xf numFmtId="0" fontId="49" fillId="9" borderId="0" xfId="0" applyFont="1" applyFill="1"/>
    <xf numFmtId="0" fontId="49" fillId="24" borderId="0" xfId="0" applyFont="1" applyFill="1"/>
    <xf numFmtId="0" fontId="49" fillId="25" borderId="0" xfId="0" applyFont="1" applyFill="1"/>
    <xf numFmtId="0" fontId="49" fillId="0" borderId="0" xfId="0" applyFont="1" applyAlignment="1">
      <alignment horizontal="center" wrapText="1"/>
    </xf>
    <xf numFmtId="0" fontId="49" fillId="0" borderId="0" xfId="0" applyFont="1" applyFill="1"/>
    <xf numFmtId="0" fontId="0" fillId="26" borderId="1" xfId="0" applyFill="1" applyBorder="1"/>
    <xf numFmtId="0" fontId="0" fillId="0" borderId="0" xfId="0" applyAlignment="1">
      <alignment horizontal="center"/>
    </xf>
    <xf numFmtId="0" fontId="17" fillId="0" borderId="0" xfId="0" applyFont="1" applyAlignment="1">
      <alignment horizontal="center" wrapText="1"/>
    </xf>
    <xf numFmtId="0" fontId="17" fillId="0" borderId="0" xfId="0" applyFont="1"/>
    <xf numFmtId="0" fontId="17" fillId="0" borderId="0" xfId="0" applyFont="1" applyAlignment="1">
      <alignment horizontal="center"/>
    </xf>
    <xf numFmtId="165" fontId="0" fillId="0" borderId="0" xfId="0" applyNumberFormat="1"/>
    <xf numFmtId="15" fontId="0" fillId="0" borderId="0" xfId="0" quotePrefix="1" applyNumberFormat="1"/>
    <xf numFmtId="0" fontId="17" fillId="0" borderId="0" xfId="0" applyFont="1" applyAlignment="1">
      <alignment horizontal="right"/>
    </xf>
    <xf numFmtId="4" fontId="0" fillId="0" borderId="0" xfId="0" applyNumberFormat="1" applyFill="1" applyBorder="1" applyAlignment="1">
      <alignment horizontal="center"/>
    </xf>
    <xf numFmtId="9" fontId="0" fillId="27" borderId="0" xfId="0" applyNumberFormat="1" applyFill="1" applyAlignment="1">
      <alignment horizontal="center"/>
    </xf>
    <xf numFmtId="38" fontId="0" fillId="0" borderId="0" xfId="0" applyNumberFormat="1"/>
    <xf numFmtId="170" fontId="23" fillId="0" borderId="0" xfId="3">
      <alignment horizontal="left" wrapText="1"/>
    </xf>
    <xf numFmtId="6" fontId="0" fillId="28" borderId="0" xfId="0" applyNumberFormat="1" applyFill="1" applyAlignment="1">
      <alignment horizontal="center"/>
    </xf>
    <xf numFmtId="9" fontId="49" fillId="0" borderId="0" xfId="0" applyNumberFormat="1" applyFont="1" applyAlignment="1">
      <alignment horizontal="center"/>
    </xf>
    <xf numFmtId="0" fontId="0" fillId="17" borderId="0" xfId="0" applyFill="1" applyBorder="1"/>
    <xf numFmtId="0" fontId="49" fillId="17" borderId="0" xfId="0" applyFont="1" applyFill="1" applyBorder="1" applyAlignment="1">
      <alignment horizontal="center"/>
    </xf>
    <xf numFmtId="0" fontId="3" fillId="0" borderId="40" xfId="0" applyFont="1" applyBorder="1" applyAlignment="1">
      <alignment horizontal="center" wrapText="1"/>
    </xf>
    <xf numFmtId="0" fontId="3" fillId="0" borderId="39" xfId="0" applyFont="1" applyBorder="1" applyAlignment="1">
      <alignment horizontal="center" wrapText="1"/>
    </xf>
    <xf numFmtId="0" fontId="3" fillId="0" borderId="37" xfId="0" applyFont="1" applyBorder="1" applyAlignment="1">
      <alignment horizontal="center" wrapText="1"/>
    </xf>
    <xf numFmtId="0" fontId="0" fillId="25" borderId="0" xfId="0" applyFill="1"/>
    <xf numFmtId="0" fontId="0" fillId="25" borderId="0" xfId="0" applyFill="1" applyAlignment="1">
      <alignment horizontal="center"/>
    </xf>
    <xf numFmtId="3" fontId="3" fillId="0" borderId="0" xfId="0" applyNumberFormat="1" applyFont="1" applyFill="1" applyBorder="1" applyAlignment="1">
      <alignment horizontal="center" wrapText="1"/>
    </xf>
    <xf numFmtId="3" fontId="0" fillId="0" borderId="0" xfId="0" applyNumberFormat="1" applyFill="1" applyBorder="1" applyAlignment="1">
      <alignment horizontal="center" wrapText="1"/>
    </xf>
    <xf numFmtId="169" fontId="0" fillId="0" borderId="0" xfId="0" applyNumberFormat="1" applyAlignment="1">
      <alignment horizontal="center" wrapText="1"/>
    </xf>
    <xf numFmtId="0" fontId="0" fillId="0" borderId="0" xfId="0" applyFill="1" applyAlignment="1">
      <alignment horizontal="left"/>
    </xf>
    <xf numFmtId="40" fontId="0" fillId="0" borderId="0" xfId="0" applyNumberFormat="1" applyAlignment="1">
      <alignment horizontal="center"/>
    </xf>
    <xf numFmtId="0" fontId="0" fillId="24" borderId="0" xfId="0" applyFill="1" applyAlignment="1">
      <alignment horizontal="center"/>
    </xf>
    <xf numFmtId="0" fontId="52" fillId="0" borderId="0" xfId="0" applyFont="1" applyFill="1" applyAlignment="1">
      <alignment horizontal="left"/>
    </xf>
    <xf numFmtId="3" fontId="0" fillId="0" borderId="33" xfId="0" applyNumberFormat="1" applyFill="1" applyBorder="1" applyAlignment="1">
      <alignment horizontal="center"/>
    </xf>
    <xf numFmtId="3" fontId="2" fillId="0" borderId="35" xfId="0" applyNumberFormat="1" applyFont="1" applyFill="1" applyBorder="1" applyAlignment="1">
      <alignment horizontal="center" wrapText="1"/>
    </xf>
    <xf numFmtId="3" fontId="2" fillId="0" borderId="36" xfId="0" applyNumberFormat="1" applyFont="1" applyFill="1" applyBorder="1" applyAlignment="1">
      <alignment horizontal="center" wrapText="1"/>
    </xf>
    <xf numFmtId="0" fontId="49" fillId="27" borderId="0" xfId="0" applyFont="1" applyFill="1"/>
    <xf numFmtId="0" fontId="0" fillId="27" borderId="0" xfId="0" applyFill="1"/>
    <xf numFmtId="6" fontId="0" fillId="27" borderId="0" xfId="0" applyNumberFormat="1" applyFill="1"/>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44" fillId="0" borderId="0" xfId="0" applyFont="1" applyAlignment="1">
      <alignment horizontal="center"/>
    </xf>
    <xf numFmtId="0" fontId="13" fillId="0" borderId="0" xfId="0" applyFont="1" applyAlignment="1">
      <alignment horizontal="center"/>
    </xf>
    <xf numFmtId="0" fontId="40" fillId="0" borderId="0" xfId="0" applyFont="1" applyAlignment="1">
      <alignment vertical="top" wrapText="1"/>
    </xf>
    <xf numFmtId="0" fontId="0" fillId="0" borderId="38" xfId="0"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2" fillId="0" borderId="40" xfId="0" applyFont="1" applyBorder="1" applyAlignment="1">
      <alignment horizontal="center" wrapText="1"/>
    </xf>
    <xf numFmtId="0" fontId="2" fillId="0" borderId="39" xfId="0" applyFont="1" applyBorder="1" applyAlignment="1">
      <alignment horizontal="center" wrapText="1"/>
    </xf>
    <xf numFmtId="0" fontId="2" fillId="0" borderId="37" xfId="0" applyFont="1" applyBorder="1" applyAlignment="1">
      <alignment horizontal="center" wrapText="1"/>
    </xf>
    <xf numFmtId="170" fontId="17" fillId="12" borderId="0" xfId="0" quotePrefix="1" applyNumberFormat="1" applyFont="1" applyFill="1" applyAlignment="1">
      <alignment horizontal="left" vertical="top" wrapText="1"/>
    </xf>
    <xf numFmtId="170" fontId="17" fillId="12" borderId="0" xfId="0" applyNumberFormat="1" applyFont="1" applyFill="1" applyAlignment="1">
      <alignment vertical="top" wrapText="1"/>
    </xf>
    <xf numFmtId="170" fontId="17" fillId="12" borderId="0" xfId="0" applyNumberFormat="1" applyFont="1" applyFill="1" applyAlignment="1">
      <alignment vertical="center" wrapText="1"/>
    </xf>
    <xf numFmtId="1" fontId="0" fillId="0" borderId="0" xfId="0" applyNumberFormat="1" applyAlignment="1">
      <alignment vertical="center" wrapText="1"/>
    </xf>
    <xf numFmtId="169" fontId="41" fillId="0" borderId="0" xfId="0" applyNumberFormat="1" applyFont="1" applyFill="1"/>
    <xf numFmtId="169" fontId="42" fillId="0" borderId="0" xfId="0" applyNumberFormat="1" applyFont="1" applyFill="1" applyAlignment="1">
      <alignment horizontal="left"/>
    </xf>
    <xf numFmtId="3" fontId="49" fillId="0" borderId="0" xfId="0" applyNumberFormat="1" applyFont="1" applyAlignment="1">
      <alignment horizontal="center" wrapText="1"/>
    </xf>
    <xf numFmtId="2" fontId="0" fillId="0" borderId="0" xfId="0" applyNumberFormat="1" applyAlignment="1">
      <alignment horizontal="center" vertical="center" wrapText="1"/>
    </xf>
    <xf numFmtId="3" fontId="0" fillId="29" borderId="1" xfId="0" applyNumberFormat="1" applyFill="1" applyBorder="1" applyAlignment="1">
      <alignment horizontal="center"/>
    </xf>
    <xf numFmtId="0" fontId="0" fillId="29" borderId="0" xfId="0" applyFill="1"/>
    <xf numFmtId="2" fontId="49" fillId="29" borderId="51" xfId="0" applyNumberFormat="1" applyFont="1" applyFill="1" applyBorder="1" applyAlignment="1">
      <alignment horizontal="center" vertical="center" wrapText="1"/>
    </xf>
    <xf numFmtId="2" fontId="49" fillId="29" borderId="52" xfId="0" applyNumberFormat="1" applyFont="1" applyFill="1" applyBorder="1" applyAlignment="1">
      <alignment horizontal="center" vertical="center" wrapText="1"/>
    </xf>
    <xf numFmtId="3" fontId="0" fillId="29" borderId="3" xfId="0" applyNumberFormat="1" applyFill="1" applyBorder="1" applyAlignment="1">
      <alignment horizontal="center"/>
    </xf>
    <xf numFmtId="169" fontId="0" fillId="29" borderId="4" xfId="0" applyNumberFormat="1" applyFill="1" applyBorder="1" applyAlignment="1">
      <alignment horizontal="center"/>
    </xf>
    <xf numFmtId="169" fontId="0" fillId="29" borderId="6" xfId="0" applyNumberFormat="1" applyFill="1" applyBorder="1" applyAlignment="1">
      <alignment horizontal="center"/>
    </xf>
    <xf numFmtId="3" fontId="0" fillId="29" borderId="8" xfId="0" applyNumberFormat="1" applyFill="1" applyBorder="1" applyAlignment="1">
      <alignment horizontal="center"/>
    </xf>
    <xf numFmtId="169" fontId="0" fillId="29" borderId="9" xfId="0" applyNumberFormat="1" applyFill="1" applyBorder="1" applyAlignment="1">
      <alignment horizontal="center"/>
    </xf>
    <xf numFmtId="0" fontId="0" fillId="29" borderId="10" xfId="0" applyFill="1" applyBorder="1" applyAlignment="1">
      <alignment horizontal="center"/>
    </xf>
    <xf numFmtId="0" fontId="49" fillId="29" borderId="11" xfId="0" applyFont="1" applyFill="1" applyBorder="1" applyAlignment="1">
      <alignment horizontal="right"/>
    </xf>
    <xf numFmtId="167" fontId="49" fillId="29" borderId="12" xfId="0" applyNumberFormat="1" applyFont="1" applyFill="1" applyBorder="1" applyAlignment="1">
      <alignment horizontal="center"/>
    </xf>
    <xf numFmtId="2" fontId="49" fillId="29" borderId="53" xfId="0" applyNumberFormat="1" applyFont="1" applyFill="1" applyBorder="1" applyAlignment="1">
      <alignment horizontal="center" vertical="center" wrapText="1"/>
    </xf>
    <xf numFmtId="3" fontId="0" fillId="29" borderId="19" xfId="0" applyNumberFormat="1" applyFill="1" applyBorder="1" applyAlignment="1">
      <alignment horizontal="center"/>
    </xf>
    <xf numFmtId="3" fontId="0" fillId="29" borderId="20" xfId="0" applyNumberFormat="1" applyFill="1" applyBorder="1" applyAlignment="1">
      <alignment horizontal="center"/>
    </xf>
    <xf numFmtId="3" fontId="0" fillId="29" borderId="21" xfId="0" applyNumberFormat="1" applyFill="1" applyBorder="1" applyAlignment="1">
      <alignment horizontal="center"/>
    </xf>
    <xf numFmtId="2" fontId="49" fillId="29" borderId="28" xfId="0" applyNumberFormat="1" applyFont="1" applyFill="1" applyBorder="1" applyAlignment="1">
      <alignment horizontal="center" vertical="center" wrapText="1"/>
    </xf>
    <xf numFmtId="0" fontId="0" fillId="29" borderId="16" xfId="0" applyFill="1" applyBorder="1"/>
    <xf numFmtId="0" fontId="0" fillId="29" borderId="17" xfId="0" applyFill="1" applyBorder="1"/>
    <xf numFmtId="0" fontId="0" fillId="29" borderId="18" xfId="0" applyFill="1" applyBorder="1"/>
    <xf numFmtId="0" fontId="53" fillId="0" borderId="0" xfId="0" applyFont="1" applyAlignment="1">
      <alignment horizontal="right"/>
    </xf>
    <xf numFmtId="0" fontId="53" fillId="30" borderId="0" xfId="0" applyFont="1" applyFill="1" applyAlignment="1">
      <alignment horizontal="right"/>
    </xf>
    <xf numFmtId="8" fontId="17" fillId="31" borderId="0" xfId="0" applyNumberFormat="1" applyFont="1" applyFill="1" applyAlignment="1">
      <alignment horizontal="center"/>
    </xf>
    <xf numFmtId="0" fontId="2" fillId="0" borderId="0" xfId="0" applyFont="1"/>
    <xf numFmtId="165" fontId="54" fillId="0" borderId="0" xfId="0" applyNumberFormat="1" applyFont="1"/>
    <xf numFmtId="0" fontId="46" fillId="0" borderId="0" xfId="0" applyFont="1"/>
    <xf numFmtId="0" fontId="2" fillId="31" borderId="0" xfId="0" applyFont="1" applyFill="1"/>
    <xf numFmtId="8" fontId="0" fillId="0" borderId="0" xfId="0" applyNumberFormat="1"/>
    <xf numFmtId="176" fontId="54" fillId="0" borderId="0" xfId="0" applyNumberFormat="1" applyFont="1"/>
    <xf numFmtId="0" fontId="0" fillId="13" borderId="0" xfId="0" applyFill="1" applyAlignment="1">
      <alignment horizontal="left"/>
    </xf>
    <xf numFmtId="0" fontId="0" fillId="24" borderId="0" xfId="0" applyFill="1" applyAlignment="1">
      <alignment horizontal="left"/>
    </xf>
    <xf numFmtId="0" fontId="49" fillId="13" borderId="0" xfId="0" applyFont="1" applyFill="1" applyAlignment="1">
      <alignment horizontal="left"/>
    </xf>
    <xf numFmtId="0" fontId="49" fillId="24" borderId="0" xfId="0" applyFont="1" applyFill="1" applyAlignment="1">
      <alignment horizontal="left"/>
    </xf>
    <xf numFmtId="169" fontId="42" fillId="29" borderId="0" xfId="0" applyNumberFormat="1" applyFont="1" applyFill="1" applyAlignment="1">
      <alignment horizontal="left"/>
    </xf>
    <xf numFmtId="0" fontId="0" fillId="29" borderId="0" xfId="0" applyFont="1" applyFill="1"/>
    <xf numFmtId="3" fontId="55" fillId="0" borderId="0" xfId="0" applyNumberFormat="1" applyFont="1" applyFill="1" applyBorder="1" applyAlignment="1">
      <alignment horizontal="center" wrapText="1"/>
    </xf>
    <xf numFmtId="3" fontId="56" fillId="0" borderId="0" xfId="0" applyNumberFormat="1" applyFont="1" applyBorder="1" applyAlignment="1">
      <alignment horizontal="center" wrapText="1"/>
    </xf>
    <xf numFmtId="6" fontId="57" fillId="0" borderId="0" xfId="0" applyNumberFormat="1" applyFont="1"/>
    <xf numFmtId="3" fontId="49" fillId="0" borderId="0" xfId="0" applyNumberFormat="1" applyFont="1"/>
    <xf numFmtId="8" fontId="59" fillId="31" borderId="0" xfId="0" applyNumberFormat="1" applyFont="1" applyFill="1"/>
    <xf numFmtId="8" fontId="49" fillId="31" borderId="0" xfId="0" applyNumberFormat="1" applyFont="1" applyFill="1"/>
    <xf numFmtId="8" fontId="58" fillId="32" borderId="0" xfId="0" applyNumberFormat="1" applyFont="1" applyFill="1"/>
    <xf numFmtId="8" fontId="58" fillId="33" borderId="0" xfId="0" applyNumberFormat="1" applyFont="1" applyFill="1"/>
    <xf numFmtId="8" fontId="58" fillId="27" borderId="0" xfId="0" applyNumberFormat="1" applyFont="1" applyFill="1"/>
  </cellXfs>
  <cellStyles count="5">
    <cellStyle name="Comma" xfId="1" builtinId="3"/>
    <cellStyle name="Currency" xfId="2" builtinId="4"/>
    <cellStyle name="Normal" xfId="0" builtinId="0"/>
    <cellStyle name="Normal_JEDI" xfId="3"/>
    <cellStyle name="Percent" xfId="4" builtinId="5"/>
  </cellStyles>
  <dxfs count="0"/>
  <tableStyles count="0" defaultTableStyle="TableStyleMedium9" defaultPivotStyle="PivotStyleLight16"/>
  <colors>
    <mruColors>
      <color rgb="FFFF0066"/>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 EROI per Business Unit Scale -  NPV model</a:t>
            </a:r>
            <a:endParaRPr lang="en-US"/>
          </a:p>
        </c:rich>
      </c:tx>
      <c:layout>
        <c:manualLayout>
          <c:xMode val="edge"/>
          <c:yMode val="edge"/>
          <c:x val="0.14153908970179627"/>
          <c:y val="6.091152496134393E-2"/>
        </c:manualLayout>
      </c:layout>
      <c:spPr>
        <a:noFill/>
        <a:ln w="25400">
          <a:noFill/>
        </a:ln>
      </c:spPr>
    </c:title>
    <c:plotArea>
      <c:layout>
        <c:manualLayout>
          <c:layoutTarget val="inner"/>
          <c:xMode val="edge"/>
          <c:yMode val="edge"/>
          <c:x val="0.11951025613997707"/>
          <c:y val="0.16466049796796256"/>
          <c:w val="0.7903724846894139"/>
          <c:h val="0.6844869542961759"/>
        </c:manualLayout>
      </c:layout>
      <c:scatterChart>
        <c:scatterStyle val="lineMarker"/>
        <c:ser>
          <c:idx val="0"/>
          <c:order val="0"/>
          <c:tx>
            <c:v>PTC added</c:v>
          </c:tx>
          <c:spPr>
            <a:ln>
              <a:solidFill>
                <a:sysClr val="window" lastClr="FFFFFF">
                  <a:lumMod val="50000"/>
                </a:sysClr>
              </a:solidFill>
              <a:prstDash val="sysDash"/>
            </a:ln>
          </c:spPr>
          <c:marker>
            <c:symbol val="square"/>
            <c:size val="7"/>
            <c:spPr>
              <a:solidFill>
                <a:schemeClr val="bg1">
                  <a:lumMod val="50000"/>
                </a:schemeClr>
              </a:solidFill>
              <a:ln>
                <a:solidFill>
                  <a:sysClr val="window" lastClr="FFFFFF">
                    <a:lumMod val="50000"/>
                  </a:sysClr>
                </a:solidFill>
                <a:prstDash val="solid"/>
              </a:ln>
            </c:spPr>
          </c:marker>
          <c:xVal>
            <c:numRef>
              <c:f>'Project LCA &amp; TEA'!$M$22:$N$22</c:f>
              <c:numCache>
                <c:formatCode>0%</c:formatCode>
                <c:ptCount val="2"/>
                <c:pt idx="0">
                  <c:v>1</c:v>
                </c:pt>
                <c:pt idx="1">
                  <c:v>0.99812575566559425</c:v>
                </c:pt>
              </c:numCache>
            </c:numRef>
          </c:xVal>
          <c:yVal>
            <c:numRef>
              <c:f>'Project LCA &amp; TEA'!$M$26:$N$26</c:f>
              <c:numCache>
                <c:formatCode>0.00</c:formatCode>
                <c:ptCount val="2"/>
                <c:pt idx="0">
                  <c:v>4.4883602532864337</c:v>
                </c:pt>
                <c:pt idx="1">
                  <c:v>4.5938298683706451</c:v>
                </c:pt>
              </c:numCache>
            </c:numRef>
          </c:yVal>
        </c:ser>
        <c:ser>
          <c:idx val="1"/>
          <c:order val="1"/>
          <c:tx>
            <c:strRef>
              <c:f>'Project LCA &amp; TEA'!$F$26</c:f>
              <c:strCache>
                <c:ptCount val="1"/>
                <c:pt idx="0">
                  <c:v>Accum EROI</c:v>
                </c:pt>
              </c:strCache>
            </c:strRef>
          </c:tx>
          <c:spPr>
            <a:ln>
              <a:solidFill>
                <a:schemeClr val="tx1"/>
              </a:solidFill>
              <a:prstDash val="solid"/>
            </a:ln>
          </c:spPr>
          <c:marker>
            <c:symbol val="square"/>
            <c:size val="7"/>
            <c:spPr>
              <a:solidFill>
                <a:schemeClr val="tx1"/>
              </a:solidFill>
              <a:ln>
                <a:solidFill>
                  <a:prstClr val="black"/>
                </a:solidFill>
              </a:ln>
            </c:spPr>
          </c:marker>
          <c:xVal>
            <c:numRef>
              <c:f>'Project LCA &amp; TEA'!$H$22:$M$22</c:f>
              <c:numCache>
                <c:formatCode>0%</c:formatCode>
                <c:ptCount val="6"/>
                <c:pt idx="0">
                  <c:v>1.7330638819765813E-2</c:v>
                </c:pt>
                <c:pt idx="1">
                  <c:v>0.84941389318692062</c:v>
                </c:pt>
                <c:pt idx="2">
                  <c:v>0.91133207917502557</c:v>
                </c:pt>
                <c:pt idx="3">
                  <c:v>0.91777275858199148</c:v>
                </c:pt>
                <c:pt idx="4">
                  <c:v>0.97554426041314901</c:v>
                </c:pt>
                <c:pt idx="5">
                  <c:v>1</c:v>
                </c:pt>
              </c:numCache>
            </c:numRef>
          </c:xVal>
          <c:yVal>
            <c:numRef>
              <c:f>'Project LCA &amp; TEA'!$H$26:$M$26</c:f>
              <c:numCache>
                <c:formatCode>0.00</c:formatCode>
                <c:ptCount val="6"/>
                <c:pt idx="0">
                  <c:v>30.993325900013321</c:v>
                </c:pt>
                <c:pt idx="1">
                  <c:v>8.8498356974763883</c:v>
                </c:pt>
                <c:pt idx="2">
                  <c:v>8.0299597663034934</c:v>
                </c:pt>
                <c:pt idx="3">
                  <c:v>7.9345300678001571</c:v>
                </c:pt>
                <c:pt idx="4">
                  <c:v>7.150236071463314</c:v>
                </c:pt>
                <c:pt idx="5">
                  <c:v>4.4883602532864337</c:v>
                </c:pt>
              </c:numCache>
            </c:numRef>
          </c:yVal>
        </c:ser>
        <c:axId val="194128896"/>
        <c:axId val="195868544"/>
      </c:scatterChart>
      <c:valAx>
        <c:axId val="194128896"/>
        <c:scaling>
          <c:orientation val="minMax"/>
          <c:max val="1"/>
        </c:scaling>
        <c:axPos val="b"/>
        <c:title>
          <c:tx>
            <c:rich>
              <a:bodyPr/>
              <a:lstStyle/>
              <a:p>
                <a:pPr>
                  <a:defRPr sz="1200"/>
                </a:pPr>
                <a:r>
                  <a:rPr lang="en-US" sz="1200" b="1" i="0" u="none" strike="noStrike" baseline="0"/>
                  <a:t>Percentage of NPV of project costs</a:t>
                </a:r>
                <a:endParaRPr lang="en-US" sz="1200"/>
              </a:p>
            </c:rich>
          </c:tx>
          <c:layout>
            <c:manualLayout>
              <c:xMode val="edge"/>
              <c:yMode val="edge"/>
              <c:x val="0.35690188058485495"/>
              <c:y val="0.92414608592664527"/>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5868544"/>
        <c:crosses val="autoZero"/>
        <c:crossBetween val="midCat"/>
      </c:valAx>
      <c:valAx>
        <c:axId val="195868544"/>
        <c:scaling>
          <c:orientation val="minMax"/>
        </c:scaling>
        <c:axPos val="l"/>
        <c:majorGridlines>
          <c:spPr>
            <a:ln>
              <a:prstDash val="sysDot"/>
            </a:ln>
          </c:spPr>
        </c:majorGridlines>
        <c:title>
          <c:tx>
            <c:rich>
              <a:bodyPr rot="-5400000" vert="horz"/>
              <a:lstStyle/>
              <a:p>
                <a:pPr>
                  <a:defRPr sz="1200"/>
                </a:pPr>
                <a:r>
                  <a:rPr lang="en-US" sz="1200"/>
                  <a:t>Accum EROI</a:t>
                </a:r>
              </a:p>
            </c:rich>
          </c:tx>
          <c:layout/>
          <c:spPr>
            <a:noFill/>
            <a:ln w="25400">
              <a:noFill/>
            </a:ln>
          </c:spPr>
        </c:title>
        <c:numFmt formatCode="0" sourceLinked="0"/>
        <c:tickLblPos val="nextTo"/>
        <c:crossAx val="194128896"/>
        <c:crosses val="autoZero"/>
        <c:crossBetween val="midCat"/>
      </c:valAx>
    </c:plotArea>
    <c:plotVisOnly val="1"/>
    <c:dispBlanksAs val="gap"/>
  </c:chart>
  <c:spPr>
    <a:noFill/>
    <a:ln w="9525">
      <a:noFill/>
    </a:ln>
  </c:spPr>
  <c:printSettings>
    <c:headerFooter/>
    <c:pageMargins b="0.750000000000003" l="0.70000000000000062" r="0.70000000000000062" t="0.750000000000003"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Project Energy Flow</a:t>
            </a:r>
          </a:p>
        </c:rich>
      </c:tx>
      <c:layout/>
      <c:overlay val="1"/>
    </c:title>
    <c:plotArea>
      <c:layout>
        <c:manualLayout>
          <c:layoutTarget val="inner"/>
          <c:xMode val="edge"/>
          <c:yMode val="edge"/>
          <c:x val="0.15974553403090033"/>
          <c:y val="9.6535313470403256E-2"/>
          <c:w val="0.76613833320674829"/>
          <c:h val="0.7354633140584641"/>
        </c:manualLayout>
      </c:layout>
      <c:lineChart>
        <c:grouping val="standard"/>
        <c:ser>
          <c:idx val="1"/>
          <c:order val="0"/>
          <c:tx>
            <c:v>LCA</c:v>
          </c:tx>
          <c:marker>
            <c:symbol val="none"/>
          </c:marker>
          <c:cat>
            <c:numRef>
              <c:f>'EROI vs IRR VestOnshore2MW'!$A$44:$A$64</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'EROI vs IRR VestOnshore2MW'!$E$3:$E$23</c:f>
              <c:numCache>
                <c:formatCode>#,##0</c:formatCode>
                <c:ptCount val="21"/>
                <c:pt idx="0">
                  <c:v>-3635621.4355153013</c:v>
                </c:pt>
                <c:pt idx="1">
                  <c:v>5634000</c:v>
                </c:pt>
                <c:pt idx="2">
                  <c:v>5634000</c:v>
                </c:pt>
                <c:pt idx="3">
                  <c:v>5634000</c:v>
                </c:pt>
                <c:pt idx="4">
                  <c:v>5634000</c:v>
                </c:pt>
                <c:pt idx="5">
                  <c:v>5634000</c:v>
                </c:pt>
                <c:pt idx="6">
                  <c:v>5634000</c:v>
                </c:pt>
                <c:pt idx="7">
                  <c:v>5634000</c:v>
                </c:pt>
                <c:pt idx="8">
                  <c:v>5634000</c:v>
                </c:pt>
                <c:pt idx="9">
                  <c:v>5634000</c:v>
                </c:pt>
                <c:pt idx="10">
                  <c:v>5634000</c:v>
                </c:pt>
                <c:pt idx="11">
                  <c:v>5634000</c:v>
                </c:pt>
                <c:pt idx="12">
                  <c:v>5634000</c:v>
                </c:pt>
                <c:pt idx="13">
                  <c:v>5634000</c:v>
                </c:pt>
                <c:pt idx="14">
                  <c:v>5634000</c:v>
                </c:pt>
                <c:pt idx="15">
                  <c:v>5634000</c:v>
                </c:pt>
                <c:pt idx="16">
                  <c:v>5634000</c:v>
                </c:pt>
                <c:pt idx="17">
                  <c:v>5634000</c:v>
                </c:pt>
                <c:pt idx="18">
                  <c:v>5634000</c:v>
                </c:pt>
                <c:pt idx="19">
                  <c:v>5634000</c:v>
                </c:pt>
                <c:pt idx="20">
                  <c:v>5634000</c:v>
                </c:pt>
              </c:numCache>
            </c:numRef>
          </c:val>
        </c:ser>
        <c:ser>
          <c:idx val="0"/>
          <c:order val="1"/>
          <c:tx>
            <c:v>SEA0</c:v>
          </c:tx>
          <c:spPr>
            <a:ln w="19050">
              <a:solidFill>
                <a:schemeClr val="accent1"/>
              </a:solidFill>
            </a:ln>
          </c:spPr>
          <c:marker>
            <c:symbol val="triangle"/>
            <c:size val="3"/>
            <c:spPr>
              <a:solidFill>
                <a:schemeClr val="accent1"/>
              </a:solidFill>
              <a:ln>
                <a:solidFill>
                  <a:srgbClr val="4F81BD"/>
                </a:solidFill>
              </a:ln>
            </c:spPr>
          </c:marker>
          <c:cat>
            <c:numRef>
              <c:f>'EROI vs IRR VestOnshore2MW'!$A$44:$A$64</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'EROI vs IRR VestOnshore2MW'!$K$3:$K$23</c:f>
              <c:numCache>
                <c:formatCode>#,##0</c:formatCode>
                <c:ptCount val="21"/>
                <c:pt idx="0">
                  <c:v>-12732439.770845886</c:v>
                </c:pt>
                <c:pt idx="1">
                  <c:v>5634000</c:v>
                </c:pt>
                <c:pt idx="2">
                  <c:v>5634000</c:v>
                </c:pt>
                <c:pt idx="3">
                  <c:v>5634000</c:v>
                </c:pt>
                <c:pt idx="4">
                  <c:v>5634000</c:v>
                </c:pt>
                <c:pt idx="5">
                  <c:v>5634000</c:v>
                </c:pt>
                <c:pt idx="6">
                  <c:v>5634000</c:v>
                </c:pt>
                <c:pt idx="7">
                  <c:v>5634000</c:v>
                </c:pt>
                <c:pt idx="8">
                  <c:v>5634000</c:v>
                </c:pt>
                <c:pt idx="9">
                  <c:v>5634000</c:v>
                </c:pt>
                <c:pt idx="10">
                  <c:v>5634000</c:v>
                </c:pt>
                <c:pt idx="11">
                  <c:v>5634000</c:v>
                </c:pt>
                <c:pt idx="12">
                  <c:v>5634000</c:v>
                </c:pt>
                <c:pt idx="13">
                  <c:v>5634000</c:v>
                </c:pt>
                <c:pt idx="14">
                  <c:v>5634000</c:v>
                </c:pt>
                <c:pt idx="15">
                  <c:v>5634000</c:v>
                </c:pt>
                <c:pt idx="16">
                  <c:v>5634000</c:v>
                </c:pt>
                <c:pt idx="17">
                  <c:v>5634000</c:v>
                </c:pt>
                <c:pt idx="18">
                  <c:v>5634000</c:v>
                </c:pt>
                <c:pt idx="19">
                  <c:v>5634000</c:v>
                </c:pt>
                <c:pt idx="20">
                  <c:v>5634000</c:v>
                </c:pt>
              </c:numCache>
            </c:numRef>
          </c:val>
        </c:ser>
        <c:ser>
          <c:idx val="2"/>
          <c:order val="2"/>
          <c:tx>
            <c:v>SEA1</c:v>
          </c:tx>
          <c:spPr>
            <a:ln>
              <a:noFill/>
            </a:ln>
          </c:spPr>
          <c:marker>
            <c:symbol val="square"/>
            <c:size val="3"/>
            <c:spPr>
              <a:solidFill>
                <a:srgbClr val="C00000"/>
              </a:solidFill>
              <a:ln>
                <a:solidFill>
                  <a:srgbClr val="C00000"/>
                </a:solidFill>
              </a:ln>
            </c:spPr>
          </c:marker>
          <c:val>
            <c:numRef>
              <c:f>'EROI vs IRR VestOnshore2MW'!$Q$3:$Q$23</c:f>
              <c:numCache>
                <c:formatCode>#,##0</c:formatCode>
                <c:ptCount val="21"/>
                <c:pt idx="0">
                  <c:v>-12732439.770845886</c:v>
                </c:pt>
                <c:pt idx="1">
                  <c:v>5568999.5441008881</c:v>
                </c:pt>
                <c:pt idx="2">
                  <c:v>5568999.5441008881</c:v>
                </c:pt>
                <c:pt idx="3">
                  <c:v>5568999.5441008881</c:v>
                </c:pt>
                <c:pt idx="4">
                  <c:v>5568999.5441008881</c:v>
                </c:pt>
                <c:pt idx="5">
                  <c:v>5568999.5441008881</c:v>
                </c:pt>
                <c:pt idx="6">
                  <c:v>5568999.5441008881</c:v>
                </c:pt>
                <c:pt idx="7">
                  <c:v>5568999.5441008881</c:v>
                </c:pt>
                <c:pt idx="8">
                  <c:v>5568999.5441008881</c:v>
                </c:pt>
                <c:pt idx="9">
                  <c:v>5568999.5441008881</c:v>
                </c:pt>
                <c:pt idx="10">
                  <c:v>5568999.5441008881</c:v>
                </c:pt>
                <c:pt idx="11">
                  <c:v>5568999.5441008881</c:v>
                </c:pt>
                <c:pt idx="12">
                  <c:v>5568999.5441008881</c:v>
                </c:pt>
                <c:pt idx="13">
                  <c:v>5568999.5441008881</c:v>
                </c:pt>
                <c:pt idx="14">
                  <c:v>5568999.5441008881</c:v>
                </c:pt>
                <c:pt idx="15">
                  <c:v>5568999.5441008881</c:v>
                </c:pt>
                <c:pt idx="16">
                  <c:v>5568999.5441008881</c:v>
                </c:pt>
                <c:pt idx="17">
                  <c:v>5568999.5441008881</c:v>
                </c:pt>
                <c:pt idx="18">
                  <c:v>5568999.5441008881</c:v>
                </c:pt>
                <c:pt idx="19">
                  <c:v>5568999.5441008881</c:v>
                </c:pt>
                <c:pt idx="20">
                  <c:v>5568999.5441008881</c:v>
                </c:pt>
              </c:numCache>
            </c:numRef>
          </c:val>
        </c:ser>
        <c:ser>
          <c:idx val="3"/>
          <c:order val="3"/>
          <c:tx>
            <c:v>SE2</c:v>
          </c:tx>
          <c:spPr>
            <a:ln w="19050">
              <a:solidFill>
                <a:schemeClr val="accent3">
                  <a:lumMod val="75000"/>
                </a:schemeClr>
              </a:solidFill>
            </a:ln>
          </c:spPr>
          <c:marker>
            <c:symbol val="circle"/>
            <c:size val="3"/>
            <c:spPr>
              <a:solidFill>
                <a:schemeClr val="accent3">
                  <a:lumMod val="75000"/>
                </a:schemeClr>
              </a:solidFill>
              <a:ln>
                <a:solidFill>
                  <a:srgbClr val="9BBB59">
                    <a:lumMod val="75000"/>
                  </a:srgbClr>
                </a:solidFill>
              </a:ln>
            </c:spPr>
          </c:marker>
          <c:val>
            <c:numRef>
              <c:f>'EROI vs IRR VestOnshore2MW'!$W$3:$W$23</c:f>
              <c:numCache>
                <c:formatCode>#,##0</c:formatCode>
                <c:ptCount val="21"/>
                <c:pt idx="0">
                  <c:v>-12732439.770845886</c:v>
                </c:pt>
                <c:pt idx="1">
                  <c:v>5560561.0332169309</c:v>
                </c:pt>
                <c:pt idx="2">
                  <c:v>5560561.0332169309</c:v>
                </c:pt>
                <c:pt idx="3">
                  <c:v>5560561.0332169309</c:v>
                </c:pt>
                <c:pt idx="4">
                  <c:v>5560561.0332169309</c:v>
                </c:pt>
                <c:pt idx="5">
                  <c:v>5560561.0332169309</c:v>
                </c:pt>
                <c:pt idx="6">
                  <c:v>5560561.0332169309</c:v>
                </c:pt>
                <c:pt idx="7">
                  <c:v>5560561.0332169309</c:v>
                </c:pt>
                <c:pt idx="8">
                  <c:v>5560561.0332169309</c:v>
                </c:pt>
                <c:pt idx="9">
                  <c:v>5560561.0332169309</c:v>
                </c:pt>
                <c:pt idx="10">
                  <c:v>5560561.0332169309</c:v>
                </c:pt>
                <c:pt idx="11">
                  <c:v>5560561.0332169309</c:v>
                </c:pt>
                <c:pt idx="12">
                  <c:v>5560561.0332169309</c:v>
                </c:pt>
                <c:pt idx="13">
                  <c:v>5560561.0332169309</c:v>
                </c:pt>
                <c:pt idx="14">
                  <c:v>5560561.0332169309</c:v>
                </c:pt>
                <c:pt idx="15">
                  <c:v>5560561.0332169309</c:v>
                </c:pt>
                <c:pt idx="16">
                  <c:v>5560561.0332169309</c:v>
                </c:pt>
                <c:pt idx="17">
                  <c:v>5560561.0332169309</c:v>
                </c:pt>
                <c:pt idx="18">
                  <c:v>5560561.0332169309</c:v>
                </c:pt>
                <c:pt idx="19">
                  <c:v>5560561.0332169309</c:v>
                </c:pt>
                <c:pt idx="20">
                  <c:v>5560561.0332169309</c:v>
                </c:pt>
              </c:numCache>
            </c:numRef>
          </c:val>
        </c:ser>
        <c:ser>
          <c:idx val="4"/>
          <c:order val="4"/>
          <c:tx>
            <c:v>SEA3.0</c:v>
          </c:tx>
          <c:spPr>
            <a:ln>
              <a:solidFill>
                <a:prstClr val="white">
                  <a:lumMod val="50000"/>
                </a:prstClr>
              </a:solidFill>
            </a:ln>
          </c:spPr>
          <c:marker>
            <c:symbol val="none"/>
          </c:marker>
          <c:val>
            <c:numRef>
              <c:f>'EROI vs IRR VestOnshore2MW'!$AC$3:$AC$23</c:f>
              <c:numCache>
                <c:formatCode>#,##0</c:formatCode>
                <c:ptCount val="21"/>
                <c:pt idx="0">
                  <c:v>-12732439.770845886</c:v>
                </c:pt>
                <c:pt idx="1">
                  <c:v>5482675.9761742037</c:v>
                </c:pt>
                <c:pt idx="2">
                  <c:v>5482675.9761742037</c:v>
                </c:pt>
                <c:pt idx="3">
                  <c:v>5482675.9761742037</c:v>
                </c:pt>
                <c:pt idx="4">
                  <c:v>5482675.9761742037</c:v>
                </c:pt>
                <c:pt idx="5">
                  <c:v>5482675.9761742037</c:v>
                </c:pt>
                <c:pt idx="6">
                  <c:v>5482675.9761742037</c:v>
                </c:pt>
                <c:pt idx="7">
                  <c:v>5482675.9761742037</c:v>
                </c:pt>
                <c:pt idx="8">
                  <c:v>5482675.9761742037</c:v>
                </c:pt>
                <c:pt idx="9">
                  <c:v>5482675.9761742037</c:v>
                </c:pt>
                <c:pt idx="10">
                  <c:v>5482675.9761742037</c:v>
                </c:pt>
                <c:pt idx="11">
                  <c:v>5482675.9761742037</c:v>
                </c:pt>
                <c:pt idx="12">
                  <c:v>5482675.9761742037</c:v>
                </c:pt>
                <c:pt idx="13">
                  <c:v>5482675.9761742037</c:v>
                </c:pt>
                <c:pt idx="14">
                  <c:v>5482675.9761742037</c:v>
                </c:pt>
                <c:pt idx="15">
                  <c:v>5482675.9761742037</c:v>
                </c:pt>
                <c:pt idx="16">
                  <c:v>5482675.9761742037</c:v>
                </c:pt>
                <c:pt idx="17">
                  <c:v>5482675.9761742037</c:v>
                </c:pt>
                <c:pt idx="18">
                  <c:v>5482675.9761742037</c:v>
                </c:pt>
                <c:pt idx="19">
                  <c:v>5482675.9761742037</c:v>
                </c:pt>
                <c:pt idx="20">
                  <c:v>5482675.9761742037</c:v>
                </c:pt>
              </c:numCache>
            </c:numRef>
          </c:val>
        </c:ser>
        <c:ser>
          <c:idx val="5"/>
          <c:order val="5"/>
          <c:tx>
            <c:v>SEA3.1</c:v>
          </c:tx>
          <c:spPr>
            <a:ln>
              <a:solidFill>
                <a:schemeClr val="bg1">
                  <a:lumMod val="50000"/>
                </a:schemeClr>
              </a:solidFill>
              <a:prstDash val="sysDash"/>
            </a:ln>
          </c:spPr>
          <c:marker>
            <c:symbol val="none"/>
          </c:marker>
          <c:val>
            <c:numRef>
              <c:f>'EROI vs IRR VestOnshore2MW'!$AO$3:$AO$23</c:f>
              <c:numCache>
                <c:formatCode>#,##0</c:formatCode>
                <c:ptCount val="21"/>
                <c:pt idx="0">
                  <c:v>-12732439.770845886</c:v>
                </c:pt>
                <c:pt idx="1">
                  <c:v>4908881.6491199471</c:v>
                </c:pt>
                <c:pt idx="2">
                  <c:v>4914922.9170972491</c:v>
                </c:pt>
                <c:pt idx="3">
                  <c:v>4922867.4836554397</c:v>
                </c:pt>
                <c:pt idx="4">
                  <c:v>4932693.5964607159</c:v>
                </c:pt>
                <c:pt idx="5">
                  <c:v>4939902.1895372383</c:v>
                </c:pt>
                <c:pt idx="6">
                  <c:v>4948944.4905845392</c:v>
                </c:pt>
                <c:pt idx="7">
                  <c:v>4959794.2238791557</c:v>
                </c:pt>
                <c:pt idx="8">
                  <c:v>4971393.7386991885</c:v>
                </c:pt>
                <c:pt idx="9">
                  <c:v>4983129.8420089493</c:v>
                </c:pt>
                <c:pt idx="10">
                  <c:v>4992764.5839382699</c:v>
                </c:pt>
                <c:pt idx="11">
                  <c:v>5006738.6371181998</c:v>
                </c:pt>
                <c:pt idx="12">
                  <c:v>5020849.2787878588</c:v>
                </c:pt>
                <c:pt idx="13">
                  <c:v>5034959.9204575177</c:v>
                </c:pt>
                <c:pt idx="14">
                  <c:v>5051308.5119973458</c:v>
                </c:pt>
                <c:pt idx="15">
                  <c:v>5067793.6920269029</c:v>
                </c:pt>
                <c:pt idx="16">
                  <c:v>5086516.8219266292</c:v>
                </c:pt>
                <c:pt idx="17">
                  <c:v>5107477.9016965246</c:v>
                </c:pt>
                <c:pt idx="18">
                  <c:v>5128575.569956149</c:v>
                </c:pt>
                <c:pt idx="19">
                  <c:v>5151911.1880859425</c:v>
                </c:pt>
                <c:pt idx="20">
                  <c:v>5176076.8439610098</c:v>
                </c:pt>
              </c:numCache>
            </c:numRef>
          </c:val>
        </c:ser>
        <c:ser>
          <c:idx val="6"/>
          <c:order val="6"/>
          <c:tx>
            <c:v>SEA3.2-PTC</c:v>
          </c:tx>
          <c:spPr>
            <a:ln>
              <a:solidFill>
                <a:prstClr val="white">
                  <a:lumMod val="50000"/>
                </a:prstClr>
              </a:solidFill>
              <a:prstDash val="dash"/>
            </a:ln>
          </c:spPr>
          <c:marker>
            <c:symbol val="none"/>
          </c:marker>
          <c:val>
            <c:numRef>
              <c:f>'EROI vs IRR VestOnshore2MW'!$AU$3:$AU$23</c:f>
              <c:numCache>
                <c:formatCode>#,##0</c:formatCode>
                <c:ptCount val="21"/>
                <c:pt idx="0">
                  <c:v>-12732439.770845886</c:v>
                </c:pt>
                <c:pt idx="1">
                  <c:v>5173662.4500591569</c:v>
                </c:pt>
                <c:pt idx="2">
                  <c:v>5179703.7180364588</c:v>
                </c:pt>
                <c:pt idx="3">
                  <c:v>5187648.2845946494</c:v>
                </c:pt>
                <c:pt idx="4">
                  <c:v>5197474.3973999256</c:v>
                </c:pt>
                <c:pt idx="5">
                  <c:v>5204682.9904764481</c:v>
                </c:pt>
                <c:pt idx="6">
                  <c:v>5213725.291523749</c:v>
                </c:pt>
                <c:pt idx="7">
                  <c:v>5224575.0248183655</c:v>
                </c:pt>
                <c:pt idx="8">
                  <c:v>5236174.5396383982</c:v>
                </c:pt>
                <c:pt idx="9">
                  <c:v>5247910.642948159</c:v>
                </c:pt>
                <c:pt idx="10">
                  <c:v>5257545.3848774796</c:v>
                </c:pt>
                <c:pt idx="11">
                  <c:v>5006738.6371181998</c:v>
                </c:pt>
                <c:pt idx="12">
                  <c:v>5020849.2787878588</c:v>
                </c:pt>
                <c:pt idx="13">
                  <c:v>5034959.9204575177</c:v>
                </c:pt>
                <c:pt idx="14">
                  <c:v>5051308.5119973458</c:v>
                </c:pt>
                <c:pt idx="15">
                  <c:v>5067793.6920269029</c:v>
                </c:pt>
                <c:pt idx="16">
                  <c:v>5086516.8219266292</c:v>
                </c:pt>
                <c:pt idx="17">
                  <c:v>5107477.9016965246</c:v>
                </c:pt>
                <c:pt idx="18">
                  <c:v>5128575.569956149</c:v>
                </c:pt>
                <c:pt idx="19">
                  <c:v>5151911.1880859425</c:v>
                </c:pt>
                <c:pt idx="20">
                  <c:v>5176076.8439610098</c:v>
                </c:pt>
              </c:numCache>
            </c:numRef>
          </c:val>
        </c:ser>
        <c:marker val="1"/>
        <c:axId val="52523008"/>
        <c:axId val="52524544"/>
      </c:lineChart>
      <c:catAx>
        <c:axId val="52523008"/>
        <c:scaling>
          <c:orientation val="minMax"/>
        </c:scaling>
        <c:axPos val="b"/>
        <c:numFmt formatCode="General" sourceLinked="1"/>
        <c:tickLblPos val="nextTo"/>
        <c:txPr>
          <a:bodyPr rot="-2700000"/>
          <a:lstStyle/>
          <a:p>
            <a:pPr>
              <a:defRPr/>
            </a:pPr>
            <a:endParaRPr lang="en-US"/>
          </a:p>
        </c:txPr>
        <c:crossAx val="52524544"/>
        <c:crosses val="autoZero"/>
        <c:auto val="1"/>
        <c:lblAlgn val="ctr"/>
        <c:lblOffset val="100"/>
      </c:catAx>
      <c:valAx>
        <c:axId val="52524544"/>
        <c:scaling>
          <c:orientation val="minMax"/>
          <c:max val="6000000"/>
          <c:min val="4000000"/>
        </c:scaling>
        <c:axPos val="l"/>
        <c:majorGridlines>
          <c:spPr>
            <a:ln w="6350"/>
          </c:spPr>
        </c:majorGridlines>
        <c:title>
          <c:tx>
            <c:rich>
              <a:bodyPr rot="-5400000" vert="horz"/>
              <a:lstStyle/>
              <a:p>
                <a:pPr>
                  <a:defRPr sz="1200"/>
                </a:pPr>
                <a:r>
                  <a:rPr lang="en-US" sz="1200"/>
                  <a:t>Energy in kWh equivalent</a:t>
                </a:r>
              </a:p>
            </c:rich>
          </c:tx>
          <c:layout/>
        </c:title>
        <c:numFmt formatCode="#,##0" sourceLinked="1"/>
        <c:tickLblPos val="nextTo"/>
        <c:spPr>
          <a:ln w="6350"/>
        </c:spPr>
        <c:crossAx val="52523008"/>
        <c:crosses val="autoZero"/>
        <c:crossBetween val="between"/>
      </c:valAx>
    </c:plotArea>
    <c:legend>
      <c:legendPos val="b"/>
      <c:layout>
        <c:manualLayout>
          <c:xMode val="edge"/>
          <c:yMode val="edge"/>
          <c:x val="9.6750402364622304E-2"/>
          <c:y val="0.93923194441277491"/>
          <c:w val="0.8999999665414089"/>
          <c:h val="5.0291969923758235E-2"/>
        </c:manualLayout>
      </c:layout>
    </c:legend>
    <c:plotVisOnly val="1"/>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Costs and Cash Flows Under Base Case Assumptions</a:t>
            </a:r>
          </a:p>
        </c:rich>
      </c:tx>
      <c:layout>
        <c:manualLayout>
          <c:xMode val="edge"/>
          <c:yMode val="edge"/>
          <c:x val="0.1820940819423372"/>
          <c:y val="3.050108932461874E-2"/>
        </c:manualLayout>
      </c:layout>
      <c:spPr>
        <a:noFill/>
        <a:ln w="25400">
          <a:noFill/>
        </a:ln>
      </c:spPr>
    </c:title>
    <c:plotArea>
      <c:layout>
        <c:manualLayout>
          <c:layoutTarget val="inner"/>
          <c:xMode val="edge"/>
          <c:yMode val="edge"/>
          <c:x val="0.15477996965098634"/>
          <c:y val="0.16122038658340704"/>
          <c:w val="0.6206373292867986"/>
          <c:h val="0.78213674031679836"/>
        </c:manualLayout>
      </c:layout>
      <c:lineChart>
        <c:grouping val="standard"/>
        <c:ser>
          <c:idx val="0"/>
          <c:order val="0"/>
          <c:tx>
            <c:strRef>
              <c:f>[5]Sheet1!$A$79</c:f>
              <c:strCache>
                <c:ptCount val="1"/>
                <c:pt idx="0">
                  <c:v>LCA+</c:v>
                </c:pt>
              </c:strCache>
            </c:strRef>
          </c:tx>
          <c:spPr>
            <a:ln w="12700">
              <a:solidFill>
                <a:srgbClr val="000080"/>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[5]Sheet1!$B$79:$U$79</c:f>
              <c:numCache>
                <c:formatCode>General</c:formatCode>
                <c:ptCount val="20"/>
                <c:pt idx="0">
                  <c:v>962</c:v>
                </c:pt>
                <c:pt idx="1">
                  <c:v>1483</c:v>
                </c:pt>
                <c:pt idx="2">
                  <c:v>902</c:v>
                </c:pt>
                <c:pt idx="3">
                  <c:v>553</c:v>
                </c:pt>
                <c:pt idx="4">
                  <c:v>553</c:v>
                </c:pt>
                <c:pt idx="5">
                  <c:v>286</c:v>
                </c:pt>
                <c:pt idx="6">
                  <c:v>24</c:v>
                </c:pt>
                <c:pt idx="7">
                  <c:v>24</c:v>
                </c:pt>
                <c:pt idx="8">
                  <c:v>24</c:v>
                </c:pt>
                <c:pt idx="9">
                  <c:v>24</c:v>
                </c:pt>
                <c:pt idx="10">
                  <c:v>24</c:v>
                </c:pt>
                <c:pt idx="11">
                  <c:v>0</c:v>
                </c:pt>
                <c:pt idx="12">
                  <c:v>0</c:v>
                </c:pt>
                <c:pt idx="13">
                  <c:v>0</c:v>
                </c:pt>
                <c:pt idx="14">
                  <c:v>0</c:v>
                </c:pt>
                <c:pt idx="15">
                  <c:v>0</c:v>
                </c:pt>
                <c:pt idx="16">
                  <c:v>0</c:v>
                </c:pt>
                <c:pt idx="17">
                  <c:v>0</c:v>
                </c:pt>
                <c:pt idx="18">
                  <c:v>0</c:v>
                </c:pt>
                <c:pt idx="19">
                  <c:v>0</c:v>
                </c:pt>
              </c:numCache>
            </c:numRef>
          </c:val>
        </c:ser>
        <c:ser>
          <c:idx val="1"/>
          <c:order val="1"/>
          <c:tx>
            <c:strRef>
              <c:f>[5]Sheet1!$A$80</c:f>
              <c:strCache>
                <c:ptCount val="1"/>
                <c:pt idx="0">
                  <c:v>TEA1</c:v>
                </c:pt>
              </c:strCache>
            </c:strRef>
          </c:tx>
          <c:spPr>
            <a:ln w="12700">
              <a:solidFill>
                <a:srgbClr val="FF00FF"/>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[5]Sheet1!$B$80:$U$80</c:f>
              <c:numCache>
                <c:formatCode>General</c:formatCode>
                <c:ptCount val="20"/>
                <c:pt idx="0">
                  <c:v>998.89202825428856</c:v>
                </c:pt>
                <c:pt idx="1">
                  <c:v>1520.8143289606458</c:v>
                </c:pt>
                <c:pt idx="2">
                  <c:v>940.73662966700306</c:v>
                </c:pt>
                <c:pt idx="3">
                  <c:v>592.65893037336025</c:v>
                </c:pt>
                <c:pt idx="4">
                  <c:v>594.50353178607463</c:v>
                </c:pt>
                <c:pt idx="5">
                  <c:v>328.42583249243188</c:v>
                </c:pt>
                <c:pt idx="6">
                  <c:v>67.3481331987891</c:v>
                </c:pt>
                <c:pt idx="7">
                  <c:v>69.192734611503539</c:v>
                </c:pt>
                <c:pt idx="8">
                  <c:v>70.115035317860745</c:v>
                </c:pt>
                <c:pt idx="9">
                  <c:v>71.95963673057517</c:v>
                </c:pt>
                <c:pt idx="10">
                  <c:v>72.88193743693239</c:v>
                </c:pt>
                <c:pt idx="11">
                  <c:v>50.726538849646822</c:v>
                </c:pt>
                <c:pt idx="12">
                  <c:v>52.571140262361254</c:v>
                </c:pt>
                <c:pt idx="13">
                  <c:v>53.493440968718467</c:v>
                </c:pt>
                <c:pt idx="14">
                  <c:v>55.338042381432899</c:v>
                </c:pt>
                <c:pt idx="15">
                  <c:v>57.182643794147324</c:v>
                </c:pt>
                <c:pt idx="16">
                  <c:v>59.027245206861757</c:v>
                </c:pt>
                <c:pt idx="17">
                  <c:v>60.871846619576189</c:v>
                </c:pt>
                <c:pt idx="18">
                  <c:v>61.794147325933402</c:v>
                </c:pt>
                <c:pt idx="19">
                  <c:v>64.56104944500504</c:v>
                </c:pt>
              </c:numCache>
            </c:numRef>
          </c:val>
        </c:ser>
        <c:ser>
          <c:idx val="2"/>
          <c:order val="2"/>
          <c:tx>
            <c:strRef>
              <c:f>[5]Sheet1!$A$81</c:f>
              <c:strCache>
                <c:ptCount val="1"/>
                <c:pt idx="0">
                  <c:v>TEA2</c:v>
                </c:pt>
              </c:strCache>
            </c:strRef>
          </c:tx>
          <c:spPr>
            <a:ln w="12700">
              <a:solidFill>
                <a:srgbClr val="FFFF00"/>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[5]Sheet1!$B$81:$U$81</c:f>
              <c:numCache>
                <c:formatCode>General</c:formatCode>
                <c:ptCount val="20"/>
                <c:pt idx="0">
                  <c:v>1002</c:v>
                </c:pt>
                <c:pt idx="1">
                  <c:v>1524</c:v>
                </c:pt>
                <c:pt idx="2">
                  <c:v>944</c:v>
                </c:pt>
                <c:pt idx="3">
                  <c:v>596</c:v>
                </c:pt>
                <c:pt idx="4">
                  <c:v>598</c:v>
                </c:pt>
                <c:pt idx="5">
                  <c:v>332</c:v>
                </c:pt>
                <c:pt idx="6">
                  <c:v>71</c:v>
                </c:pt>
                <c:pt idx="7">
                  <c:v>73</c:v>
                </c:pt>
                <c:pt idx="8">
                  <c:v>74</c:v>
                </c:pt>
                <c:pt idx="9">
                  <c:v>76</c:v>
                </c:pt>
                <c:pt idx="10">
                  <c:v>77</c:v>
                </c:pt>
                <c:pt idx="11">
                  <c:v>55</c:v>
                </c:pt>
                <c:pt idx="12">
                  <c:v>57</c:v>
                </c:pt>
                <c:pt idx="13">
                  <c:v>58</c:v>
                </c:pt>
                <c:pt idx="14">
                  <c:v>60</c:v>
                </c:pt>
                <c:pt idx="15">
                  <c:v>62</c:v>
                </c:pt>
                <c:pt idx="16">
                  <c:v>64</c:v>
                </c:pt>
                <c:pt idx="17">
                  <c:v>66</c:v>
                </c:pt>
                <c:pt idx="18">
                  <c:v>67</c:v>
                </c:pt>
                <c:pt idx="19">
                  <c:v>70</c:v>
                </c:pt>
              </c:numCache>
            </c:numRef>
          </c:val>
        </c:ser>
        <c:ser>
          <c:idx val="3"/>
          <c:order val="3"/>
          <c:tx>
            <c:strRef>
              <c:f>[5]Sheet1!$A$82</c:f>
              <c:strCache>
                <c:ptCount val="1"/>
                <c:pt idx="0">
                  <c:v>TEA3</c:v>
                </c:pt>
              </c:strCache>
            </c:strRef>
          </c:tx>
          <c:spPr>
            <a:ln w="12700">
              <a:solidFill>
                <a:srgbClr val="00FFFF"/>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[5]Sheet1!$B$82:$U$82</c:f>
              <c:numCache>
                <c:formatCode>General</c:formatCode>
                <c:ptCount val="20"/>
                <c:pt idx="0">
                  <c:v>1046</c:v>
                </c:pt>
                <c:pt idx="1">
                  <c:v>1568</c:v>
                </c:pt>
                <c:pt idx="2">
                  <c:v>988</c:v>
                </c:pt>
                <c:pt idx="3">
                  <c:v>640</c:v>
                </c:pt>
                <c:pt idx="4">
                  <c:v>642</c:v>
                </c:pt>
                <c:pt idx="5">
                  <c:v>377</c:v>
                </c:pt>
                <c:pt idx="6">
                  <c:v>117</c:v>
                </c:pt>
                <c:pt idx="7">
                  <c:v>119</c:v>
                </c:pt>
                <c:pt idx="8">
                  <c:v>120</c:v>
                </c:pt>
                <c:pt idx="9">
                  <c:v>122</c:v>
                </c:pt>
                <c:pt idx="10">
                  <c:v>124</c:v>
                </c:pt>
                <c:pt idx="11">
                  <c:v>102</c:v>
                </c:pt>
                <c:pt idx="12">
                  <c:v>105</c:v>
                </c:pt>
                <c:pt idx="13">
                  <c:v>107</c:v>
                </c:pt>
                <c:pt idx="14">
                  <c:v>109</c:v>
                </c:pt>
                <c:pt idx="15">
                  <c:v>111</c:v>
                </c:pt>
                <c:pt idx="16">
                  <c:v>113</c:v>
                </c:pt>
                <c:pt idx="17">
                  <c:v>116</c:v>
                </c:pt>
                <c:pt idx="18">
                  <c:v>118</c:v>
                </c:pt>
                <c:pt idx="19">
                  <c:v>121</c:v>
                </c:pt>
              </c:numCache>
            </c:numRef>
          </c:val>
        </c:ser>
        <c:ser>
          <c:idx val="4"/>
          <c:order val="4"/>
          <c:tx>
            <c:strRef>
              <c:f>[5]Sheet1!$A$83</c:f>
              <c:strCache>
                <c:ptCount val="1"/>
                <c:pt idx="0">
                  <c:v>TEA4</c:v>
                </c:pt>
              </c:strCache>
            </c:strRef>
          </c:tx>
          <c:spPr>
            <a:ln w="12700">
              <a:solidFill>
                <a:srgbClr val="800080"/>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[5]Sheet1!$B$83:$U$83</c:f>
              <c:numCache>
                <c:formatCode>General</c:formatCode>
                <c:ptCount val="20"/>
                <c:pt idx="0">
                  <c:v>1336</c:v>
                </c:pt>
                <c:pt idx="1">
                  <c:v>1836</c:v>
                </c:pt>
                <c:pt idx="2">
                  <c:v>1234</c:v>
                </c:pt>
                <c:pt idx="3">
                  <c:v>862</c:v>
                </c:pt>
                <c:pt idx="4">
                  <c:v>838</c:v>
                </c:pt>
                <c:pt idx="5">
                  <c:v>545</c:v>
                </c:pt>
                <c:pt idx="6">
                  <c:v>256</c:v>
                </c:pt>
                <c:pt idx="7">
                  <c:v>227</c:v>
                </c:pt>
                <c:pt idx="8">
                  <c:v>194</c:v>
                </c:pt>
                <c:pt idx="9">
                  <c:v>160</c:v>
                </c:pt>
                <c:pt idx="10">
                  <c:v>124</c:v>
                </c:pt>
                <c:pt idx="11">
                  <c:v>102</c:v>
                </c:pt>
                <c:pt idx="12">
                  <c:v>105</c:v>
                </c:pt>
                <c:pt idx="13">
                  <c:v>107</c:v>
                </c:pt>
                <c:pt idx="14">
                  <c:v>109</c:v>
                </c:pt>
                <c:pt idx="15">
                  <c:v>111</c:v>
                </c:pt>
                <c:pt idx="16">
                  <c:v>113</c:v>
                </c:pt>
                <c:pt idx="17">
                  <c:v>116</c:v>
                </c:pt>
                <c:pt idx="18">
                  <c:v>118</c:v>
                </c:pt>
                <c:pt idx="19">
                  <c:v>121</c:v>
                </c:pt>
              </c:numCache>
            </c:numRef>
          </c:val>
        </c:ser>
        <c:ser>
          <c:idx val="5"/>
          <c:order val="5"/>
          <c:tx>
            <c:strRef>
              <c:f>[5]Sheet1!$A$84</c:f>
              <c:strCache>
                <c:ptCount val="1"/>
                <c:pt idx="0">
                  <c:v>TEA5</c:v>
                </c:pt>
              </c:strCache>
            </c:strRef>
          </c:tx>
          <c:spPr>
            <a:ln w="12700">
              <a:solidFill>
                <a:srgbClr val="800000"/>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[5]Sheet1!$B$84:$U$84</c:f>
              <c:numCache>
                <c:formatCode>General</c:formatCode>
                <c:ptCount val="20"/>
                <c:pt idx="0">
                  <c:v>1458</c:v>
                </c:pt>
                <c:pt idx="1">
                  <c:v>1962</c:v>
                </c:pt>
                <c:pt idx="2">
                  <c:v>1363</c:v>
                </c:pt>
                <c:pt idx="3">
                  <c:v>995</c:v>
                </c:pt>
                <c:pt idx="4">
                  <c:v>975</c:v>
                </c:pt>
                <c:pt idx="5">
                  <c:v>686</c:v>
                </c:pt>
                <c:pt idx="6">
                  <c:v>402</c:v>
                </c:pt>
                <c:pt idx="7">
                  <c:v>377</c:v>
                </c:pt>
                <c:pt idx="8">
                  <c:v>348</c:v>
                </c:pt>
                <c:pt idx="9">
                  <c:v>319</c:v>
                </c:pt>
                <c:pt idx="10">
                  <c:v>124</c:v>
                </c:pt>
                <c:pt idx="11">
                  <c:v>102</c:v>
                </c:pt>
                <c:pt idx="12">
                  <c:v>105</c:v>
                </c:pt>
                <c:pt idx="13">
                  <c:v>107</c:v>
                </c:pt>
                <c:pt idx="14">
                  <c:v>109</c:v>
                </c:pt>
                <c:pt idx="15">
                  <c:v>111</c:v>
                </c:pt>
                <c:pt idx="16">
                  <c:v>113</c:v>
                </c:pt>
                <c:pt idx="17">
                  <c:v>116</c:v>
                </c:pt>
                <c:pt idx="18">
                  <c:v>118</c:v>
                </c:pt>
                <c:pt idx="19">
                  <c:v>121</c:v>
                </c:pt>
              </c:numCache>
            </c:numRef>
          </c:val>
        </c:ser>
        <c:ser>
          <c:idx val="6"/>
          <c:order val="6"/>
          <c:tx>
            <c:strRef>
              <c:f>[5]Sheet1!$A$85</c:f>
              <c:strCache>
                <c:ptCount val="1"/>
                <c:pt idx="0">
                  <c:v>Total After Tax Cash Flow</c:v>
                </c:pt>
              </c:strCache>
            </c:strRef>
          </c:tx>
          <c:spPr>
            <a:ln w="12700">
              <a:solidFill>
                <a:srgbClr val="008080"/>
              </a:solidFill>
              <a:prstDash val="solid"/>
            </a:ln>
          </c:spPr>
          <c:marker>
            <c:symbol val="none"/>
          </c:marker>
          <c:cat>
            <c:numRef>
              <c:f>[5]Sheet1!$B$11:$U$11</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[5]Sheet1!$B$85:$U$85</c:f>
              <c:numCache>
                <c:formatCode>General</c:formatCode>
                <c:ptCount val="20"/>
                <c:pt idx="0">
                  <c:v>-154</c:v>
                </c:pt>
                <c:pt idx="1">
                  <c:v>-181</c:v>
                </c:pt>
                <c:pt idx="2">
                  <c:v>-178</c:v>
                </c:pt>
                <c:pt idx="3">
                  <c:v>-174</c:v>
                </c:pt>
                <c:pt idx="4">
                  <c:v>-171</c:v>
                </c:pt>
                <c:pt idx="5">
                  <c:v>-167</c:v>
                </c:pt>
                <c:pt idx="6">
                  <c:v>-164</c:v>
                </c:pt>
                <c:pt idx="7">
                  <c:v>-161</c:v>
                </c:pt>
                <c:pt idx="8">
                  <c:v>-157</c:v>
                </c:pt>
                <c:pt idx="9">
                  <c:v>-154</c:v>
                </c:pt>
                <c:pt idx="10">
                  <c:v>901</c:v>
                </c:pt>
                <c:pt idx="11">
                  <c:v>454</c:v>
                </c:pt>
                <c:pt idx="12">
                  <c:v>457</c:v>
                </c:pt>
                <c:pt idx="13">
                  <c:v>461</c:v>
                </c:pt>
                <c:pt idx="14">
                  <c:v>464</c:v>
                </c:pt>
                <c:pt idx="15">
                  <c:v>467</c:v>
                </c:pt>
                <c:pt idx="16">
                  <c:v>471</c:v>
                </c:pt>
                <c:pt idx="17">
                  <c:v>474</c:v>
                </c:pt>
                <c:pt idx="18">
                  <c:v>478</c:v>
                </c:pt>
                <c:pt idx="19">
                  <c:v>472</c:v>
                </c:pt>
              </c:numCache>
            </c:numRef>
          </c:val>
        </c:ser>
        <c:marker val="1"/>
        <c:axId val="439837824"/>
        <c:axId val="153724032"/>
      </c:lineChart>
      <c:catAx>
        <c:axId val="43983782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53724032"/>
        <c:crosses val="autoZero"/>
        <c:auto val="1"/>
        <c:lblAlgn val="ctr"/>
        <c:lblOffset val="100"/>
        <c:tickLblSkip val="2"/>
        <c:tickMarkSkip val="1"/>
      </c:catAx>
      <c:valAx>
        <c:axId val="153724032"/>
        <c:scaling>
          <c:orientation val="minMax"/>
        </c:scaling>
        <c:axPos val="l"/>
        <c:title>
          <c:tx>
            <c:rich>
              <a:bodyPr/>
              <a:lstStyle/>
              <a:p>
                <a:pPr>
                  <a:defRPr sz="1150" b="1" i="0" u="none" strike="noStrike" baseline="0">
                    <a:solidFill>
                      <a:srgbClr val="000000"/>
                    </a:solidFill>
                    <a:latin typeface="Arial"/>
                    <a:ea typeface="Arial"/>
                    <a:cs typeface="Arial"/>
                  </a:defRPr>
                </a:pPr>
                <a:r>
                  <a:rPr lang="en-US"/>
                  <a:t>Thousand Dollars</a:t>
                </a:r>
              </a:p>
            </c:rich>
          </c:tx>
          <c:layout>
            <c:manualLayout>
              <c:xMode val="edge"/>
              <c:yMode val="edge"/>
              <c:x val="1.6691957511380882E-2"/>
              <c:y val="0.41176562080066786"/>
            </c:manualLayout>
          </c:layout>
          <c:spPr>
            <a:noFill/>
            <a:ln w="25400">
              <a:noFill/>
            </a:ln>
          </c:spPr>
        </c:title>
        <c:numFmt formatCode="General" sourceLinked="1"/>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39837824"/>
        <c:crosses val="autoZero"/>
        <c:crossBetween val="between"/>
      </c:valAx>
      <c:spPr>
        <a:solidFill>
          <a:srgbClr val="C0C0C0"/>
        </a:solidFill>
        <a:ln w="12700">
          <a:solidFill>
            <a:srgbClr val="808080"/>
          </a:solidFill>
          <a:prstDash val="solid"/>
        </a:ln>
      </c:spPr>
    </c:plotArea>
    <c:legend>
      <c:legendPos val="r"/>
      <c:layout>
        <c:manualLayout>
          <c:xMode val="edge"/>
          <c:yMode val="edge"/>
          <c:x val="0.80121396054628169"/>
          <c:y val="0.40740832232572238"/>
          <c:w val="0.18664643399089562"/>
          <c:h val="0.44008806088781438"/>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Cash Flow</a:t>
            </a:r>
          </a:p>
          <a:p>
            <a:pPr>
              <a:defRPr/>
            </a:pPr>
            <a:r>
              <a:rPr lang="en-US" sz="1400"/>
              <a:t>In Thousands</a:t>
            </a:r>
            <a:r>
              <a:rPr lang="en-US" sz="1400" baseline="0"/>
              <a:t> of Dollars</a:t>
            </a:r>
            <a:endParaRPr lang="en-US" sz="1400"/>
          </a:p>
        </c:rich>
      </c:tx>
      <c:layout/>
    </c:title>
    <c:plotArea>
      <c:layout/>
      <c:barChart>
        <c:barDir val="col"/>
        <c:grouping val="clustered"/>
        <c:ser>
          <c:idx val="0"/>
          <c:order val="0"/>
          <c:tx>
            <c:v>Cash Flow</c:v>
          </c:tx>
          <c:cat>
            <c:numRef>
              <c:f>FinancialCalcs!$M$4:$M$34</c:f>
              <c:numCache>
                <c:formatCode>General</c:formatCode>
                <c:ptCount val="3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numCache>
            </c:numRef>
          </c:cat>
          <c:val>
            <c:numRef>
              <c:f>FinancialCalcs!$N$4:$N$34</c:f>
              <c:numCache>
                <c:formatCode>"$"#,##0.00_);[Red]\("$"#,##0.00\)</c:formatCode>
                <c:ptCount val="31"/>
                <c:pt idx="0">
                  <c:v>-1065</c:v>
                </c:pt>
                <c:pt idx="1">
                  <c:v>160.78</c:v>
                </c:pt>
                <c:pt idx="2">
                  <c:v>140.35</c:v>
                </c:pt>
                <c:pt idx="3">
                  <c:v>150.19999999999999</c:v>
                </c:pt>
                <c:pt idx="4">
                  <c:v>160.35</c:v>
                </c:pt>
                <c:pt idx="5">
                  <c:v>170.8</c:v>
                </c:pt>
                <c:pt idx="6">
                  <c:v>181.57</c:v>
                </c:pt>
                <c:pt idx="7">
                  <c:v>192.66</c:v>
                </c:pt>
                <c:pt idx="8">
                  <c:v>204.08</c:v>
                </c:pt>
                <c:pt idx="9">
                  <c:v>215.84</c:v>
                </c:pt>
                <c:pt idx="10">
                  <c:v>227.96</c:v>
                </c:pt>
                <c:pt idx="11">
                  <c:v>93.27</c:v>
                </c:pt>
                <c:pt idx="12">
                  <c:v>106.13</c:v>
                </c:pt>
                <c:pt idx="13">
                  <c:v>119.37</c:v>
                </c:pt>
                <c:pt idx="14">
                  <c:v>133.01</c:v>
                </c:pt>
                <c:pt idx="15">
                  <c:v>147.06</c:v>
                </c:pt>
                <c:pt idx="16">
                  <c:v>161.53</c:v>
                </c:pt>
                <c:pt idx="17">
                  <c:v>176.43</c:v>
                </c:pt>
                <c:pt idx="18">
                  <c:v>191.78</c:v>
                </c:pt>
                <c:pt idx="19">
                  <c:v>207.59</c:v>
                </c:pt>
                <c:pt idx="20">
                  <c:v>223.87</c:v>
                </c:pt>
                <c:pt idx="21">
                  <c:v>240.65</c:v>
                </c:pt>
                <c:pt idx="22">
                  <c:v>257.92</c:v>
                </c:pt>
                <c:pt idx="23">
                  <c:v>275.72000000000003</c:v>
                </c:pt>
                <c:pt idx="24">
                  <c:v>294.05</c:v>
                </c:pt>
                <c:pt idx="25">
                  <c:v>312.93</c:v>
                </c:pt>
                <c:pt idx="26">
                  <c:v>332.37</c:v>
                </c:pt>
                <c:pt idx="27">
                  <c:v>352.4</c:v>
                </c:pt>
                <c:pt idx="28">
                  <c:v>373.03</c:v>
                </c:pt>
                <c:pt idx="29">
                  <c:v>1188.52</c:v>
                </c:pt>
                <c:pt idx="30">
                  <c:v>751.4</c:v>
                </c:pt>
              </c:numCache>
            </c:numRef>
          </c:val>
        </c:ser>
        <c:axId val="153773184"/>
        <c:axId val="153774720"/>
      </c:barChart>
      <c:catAx>
        <c:axId val="153773184"/>
        <c:scaling>
          <c:orientation val="minMax"/>
        </c:scaling>
        <c:axPos val="b"/>
        <c:numFmt formatCode="General" sourceLinked="1"/>
        <c:tickLblPos val="nextTo"/>
        <c:crossAx val="153774720"/>
        <c:crosses val="autoZero"/>
        <c:auto val="1"/>
        <c:lblAlgn val="ctr"/>
        <c:lblOffset val="100"/>
      </c:catAx>
      <c:valAx>
        <c:axId val="153774720"/>
        <c:scaling>
          <c:orientation val="minMax"/>
        </c:scaling>
        <c:axPos val="l"/>
        <c:majorGridlines/>
        <c:numFmt formatCode="&quot;$&quot;#,##0.00_);[Red]\(&quot;$&quot;#,##0.00\)" sourceLinked="1"/>
        <c:tickLblPos val="nextTo"/>
        <c:crossAx val="153773184"/>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a:t>Cash Flow</a:t>
            </a:r>
          </a:p>
          <a:p>
            <a:pPr>
              <a:defRPr/>
            </a:pPr>
            <a:r>
              <a:rPr lang="en-US" sz="1400"/>
              <a:t>In Thousands</a:t>
            </a:r>
            <a:r>
              <a:rPr lang="en-US" sz="1400" baseline="0"/>
              <a:t> of Dollars</a:t>
            </a:r>
            <a:endParaRPr lang="en-US" sz="1400"/>
          </a:p>
        </c:rich>
      </c:tx>
    </c:title>
    <c:plotArea>
      <c:layout/>
      <c:barChart>
        <c:barDir val="col"/>
        <c:grouping val="clustered"/>
        <c:ser>
          <c:idx val="0"/>
          <c:order val="0"/>
          <c:tx>
            <c:v>Cash Flow</c:v>
          </c:tx>
          <c:cat>
            <c:numRef>
              <c:f>FinancialCalcs!$M$4:$M$34</c:f>
              <c:numCache>
                <c:formatCode>General</c:formatCode>
                <c:ptCount val="3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pt idx="26">
                  <c:v>2034</c:v>
                </c:pt>
                <c:pt idx="27">
                  <c:v>2035</c:v>
                </c:pt>
                <c:pt idx="28">
                  <c:v>2036</c:v>
                </c:pt>
                <c:pt idx="29">
                  <c:v>2037</c:v>
                </c:pt>
                <c:pt idx="30">
                  <c:v>2038</c:v>
                </c:pt>
              </c:numCache>
            </c:numRef>
          </c:cat>
          <c:val>
            <c:numRef>
              <c:f>FinancialCalcs!$S$4:$S$34</c:f>
              <c:numCache>
                <c:formatCode>"$"#,##0</c:formatCode>
                <c:ptCount val="31"/>
                <c:pt idx="0">
                  <c:v>-1065</c:v>
                </c:pt>
                <c:pt idx="1">
                  <c:v>84</c:v>
                </c:pt>
                <c:pt idx="2">
                  <c:v>61</c:v>
                </c:pt>
                <c:pt idx="3">
                  <c:v>69</c:v>
                </c:pt>
                <c:pt idx="4">
                  <c:v>76</c:v>
                </c:pt>
                <c:pt idx="5">
                  <c:v>84</c:v>
                </c:pt>
                <c:pt idx="6">
                  <c:v>92</c:v>
                </c:pt>
                <c:pt idx="7">
                  <c:v>101</c:v>
                </c:pt>
                <c:pt idx="8">
                  <c:v>109</c:v>
                </c:pt>
                <c:pt idx="9">
                  <c:v>118</c:v>
                </c:pt>
                <c:pt idx="10">
                  <c:v>128</c:v>
                </c:pt>
                <c:pt idx="11">
                  <c:v>-10</c:v>
                </c:pt>
                <c:pt idx="12">
                  <c:v>0</c:v>
                </c:pt>
                <c:pt idx="13">
                  <c:v>10</c:v>
                </c:pt>
                <c:pt idx="14">
                  <c:v>20</c:v>
                </c:pt>
                <c:pt idx="15">
                  <c:v>31</c:v>
                </c:pt>
                <c:pt idx="16">
                  <c:v>42</c:v>
                </c:pt>
                <c:pt idx="17">
                  <c:v>53</c:v>
                </c:pt>
                <c:pt idx="18">
                  <c:v>65</c:v>
                </c:pt>
                <c:pt idx="19">
                  <c:v>77</c:v>
                </c:pt>
                <c:pt idx="20">
                  <c:v>89</c:v>
                </c:pt>
                <c:pt idx="21">
                  <c:v>102</c:v>
                </c:pt>
                <c:pt idx="22">
                  <c:v>115</c:v>
                </c:pt>
                <c:pt idx="23">
                  <c:v>128</c:v>
                </c:pt>
                <c:pt idx="24">
                  <c:v>142</c:v>
                </c:pt>
                <c:pt idx="25">
                  <c:v>157</c:v>
                </c:pt>
                <c:pt idx="26">
                  <c:v>171</c:v>
                </c:pt>
                <c:pt idx="27">
                  <c:v>186</c:v>
                </c:pt>
                <c:pt idx="28">
                  <c:v>202</c:v>
                </c:pt>
                <c:pt idx="29">
                  <c:v>1013</c:v>
                </c:pt>
                <c:pt idx="30">
                  <c:v>570</c:v>
                </c:pt>
              </c:numCache>
            </c:numRef>
          </c:val>
        </c:ser>
        <c:axId val="153783296"/>
        <c:axId val="153789184"/>
      </c:barChart>
      <c:catAx>
        <c:axId val="153783296"/>
        <c:scaling>
          <c:orientation val="minMax"/>
        </c:scaling>
        <c:axPos val="b"/>
        <c:numFmt formatCode="General" sourceLinked="1"/>
        <c:tickLblPos val="nextTo"/>
        <c:crossAx val="153789184"/>
        <c:crosses val="autoZero"/>
        <c:auto val="1"/>
        <c:lblAlgn val="ctr"/>
        <c:lblOffset val="100"/>
      </c:catAx>
      <c:valAx>
        <c:axId val="153789184"/>
        <c:scaling>
          <c:orientation val="minMax"/>
        </c:scaling>
        <c:axPos val="l"/>
        <c:majorGridlines/>
        <c:numFmt formatCode="&quot;$&quot;#,##0" sourceLinked="1"/>
        <c:tickLblPos val="nextTo"/>
        <c:txPr>
          <a:bodyPr/>
          <a:lstStyle/>
          <a:p>
            <a:pPr>
              <a:defRPr baseline="0"/>
            </a:pPr>
            <a:endParaRPr lang="en-US"/>
          </a:p>
        </c:txPr>
        <c:crossAx val="15378329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IRRe vs. EROI at Business</a:t>
            </a:r>
            <a:r>
              <a:rPr lang="en-US" baseline="0"/>
              <a:t> Unit Scale </a:t>
            </a:r>
            <a:endParaRPr lang="en-US"/>
          </a:p>
        </c:rich>
      </c:tx>
      <c:layout>
        <c:manualLayout>
          <c:xMode val="edge"/>
          <c:yMode val="edge"/>
          <c:x val="0.17614471164077464"/>
          <c:y val="4.5734767025089704E-2"/>
        </c:manualLayout>
      </c:layout>
      <c:spPr>
        <a:noFill/>
        <a:ln w="25400">
          <a:noFill/>
        </a:ln>
      </c:spPr>
    </c:title>
    <c:plotArea>
      <c:layout>
        <c:manualLayout>
          <c:layoutTarget val="inner"/>
          <c:xMode val="edge"/>
          <c:yMode val="edge"/>
          <c:x val="0.11938796133966736"/>
          <c:y val="0.16966625118355155"/>
          <c:w val="0.80151083375193488"/>
          <c:h val="0.71224567332937228"/>
        </c:manualLayout>
      </c:layout>
      <c:scatterChart>
        <c:scatterStyle val="lineMarker"/>
        <c:ser>
          <c:idx val="0"/>
          <c:order val="0"/>
          <c:tx>
            <c:v>PTC added</c:v>
          </c:tx>
          <c:spPr>
            <a:ln>
              <a:solidFill>
                <a:schemeClr val="bg1">
                  <a:lumMod val="50000"/>
                </a:schemeClr>
              </a:solidFill>
              <a:prstDash val="sysDash"/>
            </a:ln>
          </c:spPr>
          <c:marker>
            <c:symbol val="square"/>
            <c:size val="7"/>
            <c:spPr>
              <a:solidFill>
                <a:schemeClr val="bg1">
                  <a:lumMod val="50000"/>
                </a:schemeClr>
              </a:solidFill>
              <a:ln>
                <a:solidFill>
                  <a:prstClr val="white">
                    <a:lumMod val="50000"/>
                  </a:prstClr>
                </a:solidFill>
              </a:ln>
            </c:spPr>
          </c:marker>
          <c:xVal>
            <c:numRef>
              <c:f>'Project LCA &amp; TEA'!$M$26:$N$26</c:f>
              <c:numCache>
                <c:formatCode>0.00</c:formatCode>
                <c:ptCount val="2"/>
                <c:pt idx="0">
                  <c:v>4.4883602532864337</c:v>
                </c:pt>
                <c:pt idx="1">
                  <c:v>4.5938298683706451</c:v>
                </c:pt>
              </c:numCache>
            </c:numRef>
          </c:xVal>
          <c:yVal>
            <c:numRef>
              <c:f>'Project LCA &amp; TEA'!$M$27:$N$27</c:f>
              <c:numCache>
                <c:formatCode>0.0%</c:formatCode>
                <c:ptCount val="2"/>
                <c:pt idx="0">
                  <c:v>0.38668112282215589</c:v>
                </c:pt>
                <c:pt idx="1">
                  <c:v>0.40683740577212563</c:v>
                </c:pt>
              </c:numCache>
            </c:numRef>
          </c:yVal>
        </c:ser>
        <c:ser>
          <c:idx val="1"/>
          <c:order val="1"/>
          <c:tx>
            <c:v>IRRe vs EROI</c:v>
          </c:tx>
          <c:spPr>
            <a:ln>
              <a:solidFill>
                <a:prstClr val="black"/>
              </a:solidFill>
            </a:ln>
          </c:spPr>
          <c:marker>
            <c:spPr>
              <a:solidFill>
                <a:sysClr val="windowText" lastClr="000000"/>
              </a:solidFill>
              <a:ln>
                <a:solidFill>
                  <a:prstClr val="black"/>
                </a:solidFill>
              </a:ln>
            </c:spPr>
          </c:marker>
          <c:xVal>
            <c:numRef>
              <c:f>'Project LCA &amp; TEA'!$H$26:$M$26</c:f>
              <c:numCache>
                <c:formatCode>0.00</c:formatCode>
                <c:ptCount val="6"/>
                <c:pt idx="0">
                  <c:v>30.993325900013321</c:v>
                </c:pt>
                <c:pt idx="1">
                  <c:v>8.8498356974763883</c:v>
                </c:pt>
                <c:pt idx="2">
                  <c:v>8.0299597663034934</c:v>
                </c:pt>
                <c:pt idx="3">
                  <c:v>7.9345300678001571</c:v>
                </c:pt>
                <c:pt idx="4">
                  <c:v>7.150236071463314</c:v>
                </c:pt>
                <c:pt idx="5">
                  <c:v>4.4883602532864337</c:v>
                </c:pt>
              </c:numCache>
            </c:numRef>
          </c:xVal>
          <c:yVal>
            <c:numRef>
              <c:f>'Project LCA &amp; TEA'!$H$27:$M$27</c:f>
              <c:numCache>
                <c:formatCode>0.0%</c:formatCode>
                <c:ptCount val="6"/>
                <c:pt idx="0">
                  <c:v>1.5496662835039974</c:v>
                </c:pt>
                <c:pt idx="1">
                  <c:v>0.44219977553594125</c:v>
                </c:pt>
                <c:pt idx="2">
                  <c:v>0.4370767468560926</c:v>
                </c:pt>
                <c:pt idx="3">
                  <c:v>0.43641158097041771</c:v>
                </c:pt>
                <c:pt idx="4">
                  <c:v>0.43027135003642308</c:v>
                </c:pt>
                <c:pt idx="5">
                  <c:v>0.38668112282215589</c:v>
                </c:pt>
              </c:numCache>
            </c:numRef>
          </c:yVal>
        </c:ser>
        <c:axId val="209319040"/>
        <c:axId val="209321344"/>
      </c:scatterChart>
      <c:valAx>
        <c:axId val="209319040"/>
        <c:scaling>
          <c:orientation val="minMax"/>
        </c:scaling>
        <c:axPos val="b"/>
        <c:title>
          <c:tx>
            <c:rich>
              <a:bodyPr/>
              <a:lstStyle/>
              <a:p>
                <a:pPr>
                  <a:defRPr sz="1100"/>
                </a:pPr>
                <a:r>
                  <a:rPr lang="en-US" sz="1100"/>
                  <a:t>EROI</a:t>
                </a:r>
                <a:r>
                  <a:rPr lang="en-US" sz="1100" baseline="0"/>
                  <a:t> </a:t>
                </a:r>
                <a:endParaRPr lang="en-US" sz="1100"/>
              </a:p>
            </c:rich>
          </c:tx>
          <c:layout>
            <c:manualLayout>
              <c:xMode val="edge"/>
              <c:yMode val="edge"/>
              <c:x val="0.4685543496252158"/>
              <c:y val="0.94323551491547464"/>
            </c:manualLayout>
          </c:layout>
          <c:spPr>
            <a:noFill/>
            <a:ln w="25400">
              <a:noFill/>
            </a:ln>
          </c:spPr>
        </c:title>
        <c:numFmt formatCode="0" sourceLinked="0"/>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209321344"/>
        <c:crosses val="autoZero"/>
        <c:crossBetween val="midCat"/>
      </c:valAx>
      <c:valAx>
        <c:axId val="209321344"/>
        <c:scaling>
          <c:orientation val="minMax"/>
          <c:min val="0"/>
        </c:scaling>
        <c:axPos val="l"/>
        <c:majorGridlines>
          <c:spPr>
            <a:ln>
              <a:prstDash val="sysDot"/>
            </a:ln>
          </c:spPr>
        </c:majorGridlines>
        <c:title>
          <c:tx>
            <c:rich>
              <a:bodyPr rot="-5400000" vert="horz"/>
              <a:lstStyle/>
              <a:p>
                <a:pPr>
                  <a:defRPr sz="1100"/>
                </a:pPr>
                <a:r>
                  <a:rPr lang="en-US" sz="1100"/>
                  <a:t>IRRe</a:t>
                </a:r>
              </a:p>
            </c:rich>
          </c:tx>
          <c:layout/>
        </c:title>
        <c:numFmt formatCode="0%" sourceLinked="0"/>
        <c:tickLblPos val="nextTo"/>
        <c:txPr>
          <a:bodyPr/>
          <a:lstStyle/>
          <a:p>
            <a:pPr>
              <a:defRPr sz="1100"/>
            </a:pPr>
            <a:endParaRPr lang="en-US"/>
          </a:p>
        </c:txPr>
        <c:crossAx val="209319040"/>
        <c:crosses val="autoZero"/>
        <c:crossBetween val="midCat"/>
      </c:valAx>
    </c:plotArea>
    <c:plotVisOnly val="1"/>
    <c:dispBlanksAs val="gap"/>
  </c:chart>
  <c:spPr>
    <a:ln>
      <a:noFill/>
    </a:ln>
  </c:spPr>
  <c:printSettings>
    <c:headerFooter/>
    <c:pageMargins b="0.75000000000000311" l="0.70000000000000062" r="0.70000000000000062" t="0.750000000000003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Embodied</a:t>
            </a:r>
            <a:r>
              <a:rPr lang="en-US" baseline="0"/>
              <a:t> energy for</a:t>
            </a:r>
            <a:r>
              <a:rPr lang="en-US" b="1" baseline="0"/>
              <a:t> Business Unit Scales </a:t>
            </a:r>
            <a:endParaRPr lang="en-US" b="1"/>
          </a:p>
        </c:rich>
      </c:tx>
      <c:layout>
        <c:manualLayout>
          <c:xMode val="edge"/>
          <c:yMode val="edge"/>
          <c:x val="0.16264789570407903"/>
          <c:y val="7.0761587791216912E-2"/>
        </c:manualLayout>
      </c:layout>
      <c:spPr>
        <a:noFill/>
        <a:ln w="25400">
          <a:noFill/>
        </a:ln>
      </c:spPr>
    </c:title>
    <c:plotArea>
      <c:layout>
        <c:manualLayout>
          <c:layoutTarget val="inner"/>
          <c:xMode val="edge"/>
          <c:yMode val="edge"/>
          <c:x val="0.12227434962363223"/>
          <c:y val="0.19633821924051167"/>
          <c:w val="0.78759644408576457"/>
          <c:h val="0.68492469767787156"/>
        </c:manualLayout>
      </c:layout>
      <c:scatterChart>
        <c:scatterStyle val="lineMarker"/>
        <c:ser>
          <c:idx val="1"/>
          <c:order val="0"/>
          <c:tx>
            <c:strRef>
              <c:f>'Project LCA &amp; TEA'!$F$13</c:f>
              <c:strCache>
                <c:ptCount val="1"/>
                <c:pt idx="0">
                  <c:v>E invest</c:v>
                </c:pt>
              </c:strCache>
            </c:strRef>
          </c:tx>
          <c:xVal>
            <c:numRef>
              <c:f>'Project LCA &amp; TEA'!$H$10:$L$10</c:f>
              <c:numCache>
                <c:formatCode>0%</c:formatCode>
                <c:ptCount val="5"/>
                <c:pt idx="0">
                  <c:v>1.0925338773912676E-3</c:v>
                </c:pt>
                <c:pt idx="1">
                  <c:v>0.56332819091784048</c:v>
                </c:pt>
                <c:pt idx="2">
                  <c:v>0.6705604829002757</c:v>
                </c:pt>
                <c:pt idx="3">
                  <c:v>0.6844816293059246</c:v>
                </c:pt>
                <c:pt idx="4">
                  <c:v>1</c:v>
                </c:pt>
              </c:numCache>
            </c:numRef>
          </c:xVal>
          <c:yVal>
            <c:numRef>
              <c:f>'Project LCA &amp; TEA'!$H$13:$L$13</c:f>
              <c:numCache>
                <c:formatCode>#,##0</c:formatCode>
                <c:ptCount val="5"/>
                <c:pt idx="0">
                  <c:v>90.890542432001084</c:v>
                </c:pt>
                <c:pt idx="1">
                  <c:v>318.31100081526574</c:v>
                </c:pt>
                <c:pt idx="2">
                  <c:v>350.81122876482164</c:v>
                </c:pt>
                <c:pt idx="3">
                  <c:v>354.25579959640419</c:v>
                </c:pt>
                <c:pt idx="4">
                  <c:v>361.89836123358032</c:v>
                </c:pt>
              </c:numCache>
            </c:numRef>
          </c:yVal>
        </c:ser>
        <c:axId val="210702336"/>
        <c:axId val="226552448"/>
      </c:scatterChart>
      <c:valAx>
        <c:axId val="210702336"/>
        <c:scaling>
          <c:orientation val="minMax"/>
          <c:max val="1"/>
        </c:scaling>
        <c:axPos val="b"/>
        <c:title>
          <c:tx>
            <c:rich>
              <a:bodyPr/>
              <a:lstStyle/>
              <a:p>
                <a:pPr>
                  <a:defRPr sz="1050"/>
                </a:pPr>
                <a:r>
                  <a:rPr lang="en-US" sz="1050" baseline="0"/>
                  <a:t>Business unit scale in fraction of total  costs</a:t>
                </a:r>
                <a:endParaRPr lang="en-US" sz="1050"/>
              </a:p>
            </c:rich>
          </c:tx>
          <c:layout>
            <c:manualLayout>
              <c:xMode val="edge"/>
              <c:yMode val="edge"/>
              <c:x val="0.29457187138627855"/>
              <c:y val="0.93717455421165141"/>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552448"/>
        <c:crosses val="autoZero"/>
        <c:crossBetween val="midCat"/>
      </c:valAx>
      <c:valAx>
        <c:axId val="226552448"/>
        <c:scaling>
          <c:orientation val="minMax"/>
        </c:scaling>
        <c:axPos val="l"/>
        <c:majorGridlines>
          <c:spPr>
            <a:ln>
              <a:prstDash val="sysDot"/>
            </a:ln>
          </c:spPr>
        </c:majorGridlines>
        <c:numFmt formatCode="#,##0" sourceLinked="1"/>
        <c:tickLblPos val="nextTo"/>
        <c:crossAx val="210702336"/>
        <c:crosses val="autoZero"/>
        <c:crossBetween val="midCat"/>
      </c:valAx>
    </c:plotArea>
    <c:plotVisOnly val="1"/>
    <c:dispBlanksAs val="gap"/>
  </c:chart>
  <c:spPr>
    <a:ln>
      <a:noFill/>
    </a:ln>
  </c:spPr>
  <c:printSettings>
    <c:headerFooter/>
    <c:pageMargins b="0.75000000000000311" l="0.70000000000000062" r="0.70000000000000062" t="0.750000000000003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u="none" strike="noStrike" baseline="0"/>
              <a:t>EROI's for  </a:t>
            </a:r>
            <a:r>
              <a:rPr lang="en-US" baseline="0"/>
              <a:t>Business Unit Scales </a:t>
            </a:r>
            <a:r>
              <a:rPr lang="en-US" sz="1800" b="1" i="0" u="none" strike="noStrike" baseline="0"/>
              <a:t>- const cost</a:t>
            </a:r>
            <a:endParaRPr lang="en-US"/>
          </a:p>
        </c:rich>
      </c:tx>
      <c:layout>
        <c:manualLayout>
          <c:xMode val="edge"/>
          <c:yMode val="edge"/>
          <c:x val="0.22486592574854777"/>
          <c:y val="7.1572378753860577E-2"/>
        </c:manualLayout>
      </c:layout>
      <c:spPr>
        <a:noFill/>
        <a:ln w="25400">
          <a:noFill/>
        </a:ln>
      </c:spPr>
    </c:title>
    <c:plotArea>
      <c:layout>
        <c:manualLayout>
          <c:layoutTarget val="inner"/>
          <c:xMode val="edge"/>
          <c:yMode val="edge"/>
          <c:x val="0.11951025613997707"/>
          <c:y val="0.16466049796796259"/>
          <c:w val="0.7903724846894139"/>
          <c:h val="0.6844869542961759"/>
        </c:manualLayout>
      </c:layout>
      <c:scatterChart>
        <c:scatterStyle val="lineMarker"/>
        <c:ser>
          <c:idx val="1"/>
          <c:order val="0"/>
          <c:tx>
            <c:strRef>
              <c:f>'Project LCA &amp; TEA'!$F$16</c:f>
              <c:strCache>
                <c:ptCount val="1"/>
                <c:pt idx="0">
                  <c:v> simple EROI</c:v>
                </c:pt>
              </c:strCache>
            </c:strRef>
          </c:tx>
          <c:spPr>
            <a:ln>
              <a:prstDash val="dash"/>
            </a:ln>
          </c:spPr>
          <c:xVal>
            <c:numRef>
              <c:f>'Project LCA &amp; TEA'!$H$10:$L$10</c:f>
              <c:numCache>
                <c:formatCode>0%</c:formatCode>
                <c:ptCount val="5"/>
                <c:pt idx="0">
                  <c:v>1.0925338773912676E-3</c:v>
                </c:pt>
                <c:pt idx="1">
                  <c:v>0.56332819091784048</c:v>
                </c:pt>
                <c:pt idx="2">
                  <c:v>0.6705604829002757</c:v>
                </c:pt>
                <c:pt idx="3">
                  <c:v>0.6844816293059246</c:v>
                </c:pt>
                <c:pt idx="4">
                  <c:v>1</c:v>
                </c:pt>
              </c:numCache>
            </c:numRef>
          </c:xVal>
          <c:yVal>
            <c:numRef>
              <c:f>'Project LCA &amp; TEA'!$H$16:$L$16</c:f>
              <c:numCache>
                <c:formatCode>0.00</c:formatCode>
                <c:ptCount val="5"/>
                <c:pt idx="0">
                  <c:v>30.993323668494025</c:v>
                </c:pt>
                <c:pt idx="1">
                  <c:v>8.8498355155336501</c:v>
                </c:pt>
                <c:pt idx="2">
                  <c:v>8.0299596165106575</c:v>
                </c:pt>
                <c:pt idx="3">
                  <c:v>7.9518811074069795</c:v>
                </c:pt>
                <c:pt idx="4">
                  <c:v>7.7839534569813127</c:v>
                </c:pt>
              </c:numCache>
            </c:numRef>
          </c:yVal>
        </c:ser>
        <c:axId val="235215104"/>
        <c:axId val="235823104"/>
      </c:scatterChart>
      <c:valAx>
        <c:axId val="235215104"/>
        <c:scaling>
          <c:orientation val="minMax"/>
          <c:max val="1"/>
        </c:scaling>
        <c:axPos val="b"/>
        <c:title>
          <c:tx>
            <c:rich>
              <a:bodyPr/>
              <a:lstStyle/>
              <a:p>
                <a:pPr>
                  <a:defRPr sz="1050"/>
                </a:pPr>
                <a:r>
                  <a:rPr lang="en-US" sz="1100" b="1" i="0" baseline="0"/>
                  <a:t>Business unit scales by fraction costs for embodied energy accounted for</a:t>
                </a:r>
              </a:p>
            </c:rich>
          </c:tx>
          <c:layout>
            <c:manualLayout>
              <c:xMode val="edge"/>
              <c:yMode val="edge"/>
              <c:x val="0.23260584376863447"/>
              <c:y val="0.9160587757855565"/>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5823104"/>
        <c:crosses val="autoZero"/>
        <c:crossBetween val="midCat"/>
      </c:valAx>
      <c:valAx>
        <c:axId val="235823104"/>
        <c:scaling>
          <c:orientation val="minMax"/>
        </c:scaling>
        <c:axPos val="l"/>
        <c:majorGridlines>
          <c:spPr>
            <a:ln>
              <a:prstDash val="sysDot"/>
            </a:ln>
          </c:spPr>
        </c:majorGridlines>
        <c:title>
          <c:tx>
            <c:rich>
              <a:bodyPr rot="-5400000" vert="horz"/>
              <a:lstStyle/>
              <a:p>
                <a:pPr>
                  <a:defRPr sz="1050"/>
                </a:pPr>
                <a:r>
                  <a:rPr lang="en-US" sz="1050"/>
                  <a:t> Simple EROI</a:t>
                </a:r>
              </a:p>
            </c:rich>
          </c:tx>
          <c:layout/>
          <c:spPr>
            <a:noFill/>
            <a:ln w="25400">
              <a:noFill/>
            </a:ln>
          </c:spPr>
        </c:title>
        <c:numFmt formatCode="0.00" sourceLinked="1"/>
        <c:tickLblPos val="nextTo"/>
        <c:crossAx val="235215104"/>
        <c:crosses val="autoZero"/>
        <c:crossBetween val="midCat"/>
      </c:valAx>
    </c:plotArea>
    <c:plotVisOnly val="1"/>
    <c:dispBlanksAs val="gap"/>
  </c:chart>
  <c:spPr>
    <a:noFill/>
    <a:ln w="9525">
      <a:noFill/>
    </a:ln>
  </c:spPr>
  <c:printSettings>
    <c:headerFooter/>
    <c:pageMargins b="0.75000000000000311" l="0.70000000000000062" r="0.70000000000000062" t="0.750000000000003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tx>
            <c:strRef>
              <c:f>'Project LCA &amp; TEA'!$F$14</c:f>
              <c:strCache>
                <c:ptCount val="1"/>
                <c:pt idx="0">
                  <c:v>E Increment</c:v>
                </c:pt>
              </c:strCache>
            </c:strRef>
          </c:tx>
          <c:explosion val="1"/>
          <c:dLbls>
            <c:spPr>
              <a:noFill/>
              <a:ln w="25400">
                <a:noFill/>
              </a:ln>
            </c:spPr>
            <c:showVal val="1"/>
            <c:showLeaderLines val="1"/>
          </c:dLbls>
          <c:cat>
            <c:strRef>
              <c:f>'Project LCA &amp; TEA'!$H$9:$L$9</c:f>
              <c:strCache>
                <c:ptCount val="5"/>
                <c:pt idx="0">
                  <c:v>LCA</c:v>
                </c:pt>
                <c:pt idx="1">
                  <c:v>SEA0</c:v>
                </c:pt>
                <c:pt idx="2">
                  <c:v>TEA1</c:v>
                </c:pt>
                <c:pt idx="3">
                  <c:v>TEA2</c:v>
                </c:pt>
                <c:pt idx="4">
                  <c:v>TEA3.0</c:v>
                </c:pt>
              </c:strCache>
            </c:strRef>
          </c:cat>
          <c:val>
            <c:numRef>
              <c:f>'Project LCA &amp; TEA'!$H$14:$L$14</c:f>
              <c:numCache>
                <c:formatCode>#,##0</c:formatCode>
                <c:ptCount val="5"/>
                <c:pt idx="0">
                  <c:v>90.890542432001084</c:v>
                </c:pt>
                <c:pt idx="1">
                  <c:v>227.42045838326464</c:v>
                </c:pt>
                <c:pt idx="2">
                  <c:v>123.39077038155699</c:v>
                </c:pt>
                <c:pt idx="3">
                  <c:v>230.8650292148472</c:v>
                </c:pt>
                <c:pt idx="4">
                  <c:v>131.03333201873312</c:v>
                </c:pt>
              </c:numCache>
            </c:numRef>
          </c:val>
        </c:ser>
        <c:firstSliceAng val="0"/>
      </c:pieChart>
      <c:spPr>
        <a:noFill/>
        <a:ln w="25400">
          <a:noFill/>
        </a:ln>
      </c:spPr>
    </c:plotArea>
    <c:legend>
      <c:legendPos val="r"/>
      <c:layout>
        <c:manualLayout>
          <c:xMode val="edge"/>
          <c:yMode val="edge"/>
          <c:x val="0.2160934345133077"/>
          <c:y val="0.93596524098499723"/>
          <c:w val="0.50561667687094158"/>
          <c:h val="5.3104410836028348E-2"/>
        </c:manualLayout>
      </c:layout>
      <c:overlay val="1"/>
      <c:txPr>
        <a:bodyPr/>
        <a:lstStyle/>
        <a:p>
          <a:pPr rtl="0">
            <a:defRPr/>
          </a:pPr>
          <a:endParaRPr lang="en-US"/>
        </a:p>
      </c:txPr>
    </c:legend>
    <c:plotVisOnly val="1"/>
    <c:dispBlanksAs val="zero"/>
  </c:chart>
  <c:printSettings>
    <c:headerFooter/>
    <c:pageMargins b="0.75000000000000144" l="0.70000000000000062" r="0.70000000000000062" t="0.75000000000000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IRRe vs. EROI at Business</a:t>
            </a:r>
            <a:r>
              <a:rPr lang="en-US" baseline="0"/>
              <a:t> Unit Scale </a:t>
            </a:r>
            <a:endParaRPr lang="en-US"/>
          </a:p>
        </c:rich>
      </c:tx>
      <c:layout>
        <c:manualLayout>
          <c:xMode val="edge"/>
          <c:yMode val="edge"/>
          <c:x val="0.17614471164077464"/>
          <c:y val="4.5734767025089718E-2"/>
        </c:manualLayout>
      </c:layout>
      <c:spPr>
        <a:noFill/>
        <a:ln w="25400">
          <a:noFill/>
        </a:ln>
      </c:spPr>
    </c:title>
    <c:plotArea>
      <c:layout>
        <c:manualLayout>
          <c:layoutTarget val="inner"/>
          <c:xMode val="edge"/>
          <c:yMode val="edge"/>
          <c:x val="0.13853638954224715"/>
          <c:y val="0.16966625118355155"/>
          <c:w val="0.76082036668475972"/>
          <c:h val="0.71224567332937283"/>
        </c:manualLayout>
      </c:layout>
      <c:scatterChart>
        <c:scatterStyle val="lineMarker"/>
        <c:ser>
          <c:idx val="0"/>
          <c:order val="0"/>
          <c:tx>
            <c:v>PTC added</c:v>
          </c:tx>
          <c:spPr>
            <a:ln>
              <a:solidFill>
                <a:schemeClr val="bg1">
                  <a:lumMod val="50000"/>
                </a:schemeClr>
              </a:solidFill>
              <a:prstDash val="sysDash"/>
            </a:ln>
          </c:spPr>
          <c:marker>
            <c:symbol val="square"/>
            <c:size val="7"/>
            <c:spPr>
              <a:solidFill>
                <a:schemeClr val="bg1">
                  <a:lumMod val="50000"/>
                </a:schemeClr>
              </a:solidFill>
              <a:ln>
                <a:solidFill>
                  <a:prstClr val="white">
                    <a:lumMod val="50000"/>
                  </a:prstClr>
                </a:solidFill>
              </a:ln>
            </c:spPr>
          </c:marker>
          <c:xVal>
            <c:numRef>
              <c:f>'Project LCA &amp; TEA'!$M$26:$N$26</c:f>
              <c:numCache>
                <c:formatCode>0.00</c:formatCode>
                <c:ptCount val="2"/>
                <c:pt idx="0">
                  <c:v>4.4883602532864337</c:v>
                </c:pt>
                <c:pt idx="1">
                  <c:v>4.5938298683706451</c:v>
                </c:pt>
              </c:numCache>
            </c:numRef>
          </c:xVal>
          <c:yVal>
            <c:numRef>
              <c:f>'Project LCA &amp; TEA'!$M$22:$N$22</c:f>
              <c:numCache>
                <c:formatCode>0%</c:formatCode>
                <c:ptCount val="2"/>
                <c:pt idx="0">
                  <c:v>1</c:v>
                </c:pt>
                <c:pt idx="1">
                  <c:v>0.99812575566559425</c:v>
                </c:pt>
              </c:numCache>
            </c:numRef>
          </c:yVal>
        </c:ser>
        <c:ser>
          <c:idx val="1"/>
          <c:order val="1"/>
          <c:tx>
            <c:v>IRRe vs EROI</c:v>
          </c:tx>
          <c:spPr>
            <a:ln>
              <a:solidFill>
                <a:prstClr val="black"/>
              </a:solidFill>
            </a:ln>
          </c:spPr>
          <c:marker>
            <c:spPr>
              <a:solidFill>
                <a:sysClr val="windowText" lastClr="000000"/>
              </a:solidFill>
              <a:ln>
                <a:solidFill>
                  <a:prstClr val="black"/>
                </a:solidFill>
              </a:ln>
            </c:spPr>
          </c:marker>
          <c:xVal>
            <c:numRef>
              <c:f>'Project LCA &amp; TEA'!$H$26:$M$26</c:f>
              <c:numCache>
                <c:formatCode>0.00</c:formatCode>
                <c:ptCount val="6"/>
                <c:pt idx="0">
                  <c:v>30.993325900013321</c:v>
                </c:pt>
                <c:pt idx="1">
                  <c:v>8.8498356974763883</c:v>
                </c:pt>
                <c:pt idx="2">
                  <c:v>8.0299597663034934</c:v>
                </c:pt>
                <c:pt idx="3">
                  <c:v>7.9345300678001571</c:v>
                </c:pt>
                <c:pt idx="4">
                  <c:v>7.150236071463314</c:v>
                </c:pt>
                <c:pt idx="5">
                  <c:v>4.4883602532864337</c:v>
                </c:pt>
              </c:numCache>
            </c:numRef>
          </c:xVal>
          <c:yVal>
            <c:numRef>
              <c:f>'Project LCA &amp; TEA'!$H$22:$M$22</c:f>
              <c:numCache>
                <c:formatCode>0%</c:formatCode>
                <c:ptCount val="6"/>
                <c:pt idx="0">
                  <c:v>1.7330638819765813E-2</c:v>
                </c:pt>
                <c:pt idx="1">
                  <c:v>0.84941389318692062</c:v>
                </c:pt>
                <c:pt idx="2">
                  <c:v>0.91133207917502557</c:v>
                </c:pt>
                <c:pt idx="3">
                  <c:v>0.91777275858199148</c:v>
                </c:pt>
                <c:pt idx="4">
                  <c:v>0.97554426041314901</c:v>
                </c:pt>
                <c:pt idx="5">
                  <c:v>1</c:v>
                </c:pt>
              </c:numCache>
            </c:numRef>
          </c:yVal>
        </c:ser>
        <c:axId val="153840256"/>
        <c:axId val="153877120"/>
      </c:scatterChart>
      <c:scatterChart>
        <c:scatterStyle val="lineMarker"/>
        <c:ser>
          <c:idx val="2"/>
          <c:order val="2"/>
          <c:tx>
            <c:v>PTC added for LCOE</c:v>
          </c:tx>
          <c:spPr>
            <a:ln>
              <a:noFill/>
            </a:ln>
          </c:spPr>
          <c:marker>
            <c:symbol val="none"/>
          </c:marker>
          <c:xVal>
            <c:numRef>
              <c:f>'Project LCA &amp; TEA'!$M$26:$N$26</c:f>
              <c:numCache>
                <c:formatCode>0.00</c:formatCode>
                <c:ptCount val="2"/>
                <c:pt idx="0">
                  <c:v>4.4883602532864337</c:v>
                </c:pt>
                <c:pt idx="1">
                  <c:v>4.5938298683706451</c:v>
                </c:pt>
              </c:numCache>
            </c:numRef>
          </c:xVal>
          <c:yVal>
            <c:numRef>
              <c:f>'Project LCA &amp; TEA'!$M$29:$N$29</c:f>
              <c:numCache>
                <c:formatCode>"$"#,##0.00</c:formatCode>
                <c:ptCount val="2"/>
                <c:pt idx="0">
                  <c:v>99</c:v>
                </c:pt>
                <c:pt idx="1">
                  <c:v>78.899999999999991</c:v>
                </c:pt>
              </c:numCache>
            </c:numRef>
          </c:yVal>
        </c:ser>
        <c:ser>
          <c:idx val="3"/>
          <c:order val="3"/>
          <c:tx>
            <c:v>EROI vs LCOE</c:v>
          </c:tx>
          <c:spPr>
            <a:ln>
              <a:noFill/>
            </a:ln>
          </c:spPr>
          <c:marker>
            <c:symbol val="none"/>
          </c:marker>
          <c:xVal>
            <c:numRef>
              <c:f>'Project LCA &amp; TEA'!$H$26:$M$26</c:f>
              <c:numCache>
                <c:formatCode>0.00</c:formatCode>
                <c:ptCount val="6"/>
                <c:pt idx="0">
                  <c:v>30.993325900013321</c:v>
                </c:pt>
                <c:pt idx="1">
                  <c:v>8.8498356974763883</c:v>
                </c:pt>
                <c:pt idx="2">
                  <c:v>8.0299597663034934</c:v>
                </c:pt>
                <c:pt idx="3">
                  <c:v>7.9345300678001571</c:v>
                </c:pt>
                <c:pt idx="4">
                  <c:v>7.150236071463314</c:v>
                </c:pt>
                <c:pt idx="5">
                  <c:v>4.4883602532864337</c:v>
                </c:pt>
              </c:numCache>
            </c:numRef>
          </c:xVal>
          <c:yVal>
            <c:numRef>
              <c:f>'Project LCA &amp; TEA'!$H$29:$M$29</c:f>
              <c:numCache>
                <c:formatCode>"$"#,##0.00</c:formatCode>
                <c:ptCount val="6"/>
                <c:pt idx="0">
                  <c:v>2.289644721054843</c:v>
                </c:pt>
                <c:pt idx="1">
                  <c:v>58.2</c:v>
                </c:pt>
                <c:pt idx="2">
                  <c:v>66.3</c:v>
                </c:pt>
                <c:pt idx="3">
                  <c:v>67.099999999999994</c:v>
                </c:pt>
                <c:pt idx="4">
                  <c:v>77.699999999999989</c:v>
                </c:pt>
                <c:pt idx="5">
                  <c:v>99</c:v>
                </c:pt>
              </c:numCache>
            </c:numRef>
          </c:yVal>
        </c:ser>
        <c:axId val="154195456"/>
        <c:axId val="154192896"/>
      </c:scatterChart>
      <c:valAx>
        <c:axId val="153840256"/>
        <c:scaling>
          <c:orientation val="minMax"/>
        </c:scaling>
        <c:axPos val="b"/>
        <c:title>
          <c:tx>
            <c:rich>
              <a:bodyPr/>
              <a:lstStyle/>
              <a:p>
                <a:pPr>
                  <a:defRPr sz="1100"/>
                </a:pPr>
                <a:r>
                  <a:rPr lang="en-US" sz="1100"/>
                  <a:t>EROI</a:t>
                </a:r>
                <a:r>
                  <a:rPr lang="en-US" sz="1100" baseline="0"/>
                  <a:t> </a:t>
                </a:r>
                <a:endParaRPr lang="en-US" sz="1100"/>
              </a:p>
            </c:rich>
          </c:tx>
          <c:layout>
            <c:manualLayout>
              <c:xMode val="edge"/>
              <c:yMode val="edge"/>
              <c:x val="0.4685543496252158"/>
              <c:y val="0.94323551491547464"/>
            </c:manualLayout>
          </c:layout>
          <c:spPr>
            <a:noFill/>
            <a:ln w="25400">
              <a:noFill/>
            </a:ln>
          </c:spPr>
        </c:title>
        <c:numFmt formatCode="0" sourceLinked="0"/>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153877120"/>
        <c:crosses val="autoZero"/>
        <c:crossBetween val="midCat"/>
      </c:valAx>
      <c:valAx>
        <c:axId val="153877120"/>
        <c:scaling>
          <c:orientation val="minMax"/>
          <c:min val="0"/>
        </c:scaling>
        <c:axPos val="l"/>
        <c:majorGridlines>
          <c:spPr>
            <a:ln>
              <a:prstDash val="sysDot"/>
            </a:ln>
          </c:spPr>
        </c:majorGridlines>
        <c:title>
          <c:tx>
            <c:rich>
              <a:bodyPr rot="-5400000" vert="horz"/>
              <a:lstStyle/>
              <a:p>
                <a:pPr>
                  <a:defRPr sz="1100"/>
                </a:pPr>
                <a:r>
                  <a:rPr lang="en-US" sz="1100"/>
                  <a:t>IRRe</a:t>
                </a:r>
              </a:p>
            </c:rich>
          </c:tx>
          <c:layout/>
        </c:title>
        <c:numFmt formatCode="0%" sourceLinked="0"/>
        <c:tickLblPos val="nextTo"/>
        <c:txPr>
          <a:bodyPr/>
          <a:lstStyle/>
          <a:p>
            <a:pPr>
              <a:defRPr sz="1100"/>
            </a:pPr>
            <a:endParaRPr lang="en-US"/>
          </a:p>
        </c:txPr>
        <c:crossAx val="153840256"/>
        <c:crosses val="autoZero"/>
        <c:crossBetween val="midCat"/>
      </c:valAx>
      <c:valAx>
        <c:axId val="154192896"/>
        <c:scaling>
          <c:orientation val="minMax"/>
        </c:scaling>
        <c:axPos val="r"/>
        <c:title>
          <c:tx>
            <c:rich>
              <a:bodyPr rot="-5400000" vert="horz"/>
              <a:lstStyle/>
              <a:p>
                <a:pPr>
                  <a:defRPr sz="1100" b="1"/>
                </a:pPr>
                <a:r>
                  <a:rPr lang="en-US" sz="1100" b="1"/>
                  <a:t>LCOE ($/MWh)</a:t>
                </a:r>
              </a:p>
            </c:rich>
          </c:tx>
          <c:layout/>
        </c:title>
        <c:numFmt formatCode="&quot;$&quot;#,##0" sourceLinked="0"/>
        <c:tickLblPos val="nextTo"/>
        <c:crossAx val="154195456"/>
        <c:crosses val="max"/>
        <c:crossBetween val="midCat"/>
      </c:valAx>
      <c:valAx>
        <c:axId val="154195456"/>
        <c:scaling>
          <c:orientation val="minMax"/>
        </c:scaling>
        <c:delete val="1"/>
        <c:axPos val="b"/>
        <c:numFmt formatCode="0.00" sourceLinked="1"/>
        <c:tickLblPos val="none"/>
        <c:crossAx val="154192896"/>
        <c:crossBetween val="midCat"/>
      </c:valAx>
    </c:plotArea>
    <c:plotVisOnly val="1"/>
    <c:dispBlanksAs val="gap"/>
  </c:chart>
  <c:spPr>
    <a:ln>
      <a:noFill/>
    </a:ln>
  </c:spPr>
  <c:printSettings>
    <c:headerFooter/>
    <c:pageMargins b="0.75000000000000333" l="0.70000000000000062" r="0.70000000000000062" t="0.7500000000000033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 EROI per Business Unit Scale and LCOE</a:t>
            </a:r>
            <a:endParaRPr lang="en-US"/>
          </a:p>
        </c:rich>
      </c:tx>
      <c:layout>
        <c:manualLayout>
          <c:xMode val="edge"/>
          <c:yMode val="edge"/>
          <c:x val="0.13678612148249944"/>
          <c:y val="1.5380407321083167E-2"/>
        </c:manualLayout>
      </c:layout>
      <c:spPr>
        <a:noFill/>
        <a:ln w="25400">
          <a:noFill/>
        </a:ln>
      </c:spPr>
    </c:title>
    <c:plotArea>
      <c:layout>
        <c:manualLayout>
          <c:layoutTarget val="inner"/>
          <c:xMode val="edge"/>
          <c:yMode val="edge"/>
          <c:x val="0.11951025613997707"/>
          <c:y val="0.21019158920682643"/>
          <c:w val="0.7903724846894139"/>
          <c:h val="0.64966894512055728"/>
        </c:manualLayout>
      </c:layout>
      <c:scatterChart>
        <c:scatterStyle val="lineMarker"/>
        <c:ser>
          <c:idx val="0"/>
          <c:order val="0"/>
          <c:tx>
            <c:v>PTC added</c:v>
          </c:tx>
          <c:spPr>
            <a:ln>
              <a:solidFill>
                <a:sysClr val="window" lastClr="FFFFFF">
                  <a:lumMod val="50000"/>
                </a:sysClr>
              </a:solidFill>
              <a:prstDash val="sysDash"/>
            </a:ln>
          </c:spPr>
          <c:marker>
            <c:symbol val="square"/>
            <c:size val="7"/>
            <c:spPr>
              <a:solidFill>
                <a:schemeClr val="bg1">
                  <a:lumMod val="50000"/>
                </a:schemeClr>
              </a:solidFill>
              <a:ln>
                <a:solidFill>
                  <a:sysClr val="window" lastClr="FFFFFF">
                    <a:lumMod val="50000"/>
                  </a:sysClr>
                </a:solidFill>
                <a:prstDash val="solid"/>
              </a:ln>
            </c:spPr>
          </c:marker>
          <c:xVal>
            <c:numRef>
              <c:f>'Project LCA &amp; TEA'!$M$22:$N$22</c:f>
              <c:numCache>
                <c:formatCode>0%</c:formatCode>
                <c:ptCount val="2"/>
                <c:pt idx="0">
                  <c:v>1</c:v>
                </c:pt>
                <c:pt idx="1">
                  <c:v>0.99812575566559425</c:v>
                </c:pt>
              </c:numCache>
            </c:numRef>
          </c:xVal>
          <c:yVal>
            <c:numRef>
              <c:f>'Project LCA &amp; TEA'!$M$26:$N$26</c:f>
              <c:numCache>
                <c:formatCode>0.00</c:formatCode>
                <c:ptCount val="2"/>
                <c:pt idx="0">
                  <c:v>4.4883602532864337</c:v>
                </c:pt>
                <c:pt idx="1">
                  <c:v>4.5938298683706451</c:v>
                </c:pt>
              </c:numCache>
            </c:numRef>
          </c:yVal>
        </c:ser>
        <c:ser>
          <c:idx val="1"/>
          <c:order val="1"/>
          <c:tx>
            <c:strRef>
              <c:f>'Project LCA &amp; TEA'!$F$26</c:f>
              <c:strCache>
                <c:ptCount val="1"/>
                <c:pt idx="0">
                  <c:v>Accum EROI</c:v>
                </c:pt>
              </c:strCache>
            </c:strRef>
          </c:tx>
          <c:spPr>
            <a:ln>
              <a:solidFill>
                <a:schemeClr val="tx1"/>
              </a:solidFill>
              <a:prstDash val="solid"/>
            </a:ln>
          </c:spPr>
          <c:marker>
            <c:symbol val="square"/>
            <c:size val="7"/>
            <c:spPr>
              <a:solidFill>
                <a:schemeClr val="tx1"/>
              </a:solidFill>
              <a:ln>
                <a:solidFill>
                  <a:prstClr val="black"/>
                </a:solidFill>
              </a:ln>
            </c:spPr>
          </c:marker>
          <c:xVal>
            <c:numRef>
              <c:f>'Project LCA &amp; TEA'!$H$22:$M$22</c:f>
              <c:numCache>
                <c:formatCode>0%</c:formatCode>
                <c:ptCount val="6"/>
                <c:pt idx="0">
                  <c:v>1.7330638819765813E-2</c:v>
                </c:pt>
                <c:pt idx="1">
                  <c:v>0.84941389318692062</c:v>
                </c:pt>
                <c:pt idx="2">
                  <c:v>0.91133207917502557</c:v>
                </c:pt>
                <c:pt idx="3">
                  <c:v>0.91777275858199148</c:v>
                </c:pt>
                <c:pt idx="4">
                  <c:v>0.97554426041314901</c:v>
                </c:pt>
                <c:pt idx="5">
                  <c:v>1</c:v>
                </c:pt>
              </c:numCache>
            </c:numRef>
          </c:xVal>
          <c:yVal>
            <c:numRef>
              <c:f>'Project LCA &amp; TEA'!$H$26:$M$26</c:f>
              <c:numCache>
                <c:formatCode>0.00</c:formatCode>
                <c:ptCount val="6"/>
                <c:pt idx="0">
                  <c:v>30.993325900013321</c:v>
                </c:pt>
                <c:pt idx="1">
                  <c:v>8.8498356974763883</c:v>
                </c:pt>
                <c:pt idx="2">
                  <c:v>8.0299597663034934</c:v>
                </c:pt>
                <c:pt idx="3">
                  <c:v>7.9345300678001571</c:v>
                </c:pt>
                <c:pt idx="4">
                  <c:v>7.150236071463314</c:v>
                </c:pt>
                <c:pt idx="5">
                  <c:v>4.4883602532864337</c:v>
                </c:pt>
              </c:numCache>
            </c:numRef>
          </c:yVal>
        </c:ser>
        <c:axId val="153874816"/>
        <c:axId val="153881984"/>
      </c:scatterChart>
      <c:scatterChart>
        <c:scatterStyle val="lineMarker"/>
        <c:ser>
          <c:idx val="2"/>
          <c:order val="2"/>
          <c:tx>
            <c:v>EROI vs LCOE</c:v>
          </c:tx>
          <c:spPr>
            <a:ln w="22225">
              <a:solidFill>
                <a:schemeClr val="bg1">
                  <a:lumMod val="50000"/>
                </a:schemeClr>
              </a:solidFill>
              <a:prstDash val="sysDash"/>
            </a:ln>
          </c:spPr>
          <c:marker>
            <c:spPr>
              <a:solidFill>
                <a:schemeClr val="bg1">
                  <a:lumMod val="50000"/>
                </a:schemeClr>
              </a:solidFill>
              <a:ln>
                <a:solidFill>
                  <a:prstClr val="white">
                    <a:lumMod val="50000"/>
                  </a:prstClr>
                </a:solidFill>
              </a:ln>
            </c:spPr>
          </c:marker>
          <c:xVal>
            <c:numRef>
              <c:f>'Project LCA &amp; TEA'!$H$29:$N$29</c:f>
              <c:numCache>
                <c:formatCode>"$"#,##0.00</c:formatCode>
                <c:ptCount val="7"/>
                <c:pt idx="0">
                  <c:v>2.289644721054843</c:v>
                </c:pt>
                <c:pt idx="1">
                  <c:v>58.2</c:v>
                </c:pt>
                <c:pt idx="2">
                  <c:v>66.3</c:v>
                </c:pt>
                <c:pt idx="3">
                  <c:v>67.099999999999994</c:v>
                </c:pt>
                <c:pt idx="4">
                  <c:v>77.699999999999989</c:v>
                </c:pt>
                <c:pt idx="5">
                  <c:v>99</c:v>
                </c:pt>
                <c:pt idx="6">
                  <c:v>78.899999999999991</c:v>
                </c:pt>
              </c:numCache>
            </c:numRef>
          </c:xVal>
          <c:yVal>
            <c:numRef>
              <c:f>'Project LCA &amp; TEA'!$H$26:$N$26</c:f>
              <c:numCache>
                <c:formatCode>0.00</c:formatCode>
                <c:ptCount val="7"/>
                <c:pt idx="0">
                  <c:v>30.993325900013321</c:v>
                </c:pt>
                <c:pt idx="1">
                  <c:v>8.8498356974763883</c:v>
                </c:pt>
                <c:pt idx="2">
                  <c:v>8.0299597663034934</c:v>
                </c:pt>
                <c:pt idx="3">
                  <c:v>7.9345300678001571</c:v>
                </c:pt>
                <c:pt idx="4">
                  <c:v>7.150236071463314</c:v>
                </c:pt>
                <c:pt idx="5">
                  <c:v>4.4883602532864337</c:v>
                </c:pt>
                <c:pt idx="6">
                  <c:v>4.5938298683706451</c:v>
                </c:pt>
              </c:numCache>
            </c:numRef>
          </c:yVal>
        </c:ser>
        <c:axId val="197946752"/>
        <c:axId val="197944448"/>
      </c:scatterChart>
      <c:valAx>
        <c:axId val="153874816"/>
        <c:scaling>
          <c:orientation val="minMax"/>
          <c:max val="1"/>
        </c:scaling>
        <c:axPos val="b"/>
        <c:title>
          <c:tx>
            <c:rich>
              <a:bodyPr/>
              <a:lstStyle/>
              <a:p>
                <a:pPr>
                  <a:defRPr sz="1200"/>
                </a:pPr>
                <a:r>
                  <a:rPr lang="en-US" sz="1200" b="1" i="0" u="none" strike="noStrike" baseline="0"/>
                  <a:t>Percentage of NPV of project costs</a:t>
                </a:r>
                <a:endParaRPr lang="en-US" sz="1200"/>
              </a:p>
            </c:rich>
          </c:tx>
          <c:layout>
            <c:manualLayout>
              <c:xMode val="edge"/>
              <c:yMode val="edge"/>
              <c:x val="0.30937219839188745"/>
              <c:y val="0.92414608592664571"/>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81984"/>
        <c:crosses val="autoZero"/>
        <c:crossBetween val="midCat"/>
      </c:valAx>
      <c:valAx>
        <c:axId val="153881984"/>
        <c:scaling>
          <c:orientation val="minMax"/>
        </c:scaling>
        <c:axPos val="l"/>
        <c:majorGridlines>
          <c:spPr>
            <a:ln>
              <a:prstDash val="sysDot"/>
            </a:ln>
          </c:spPr>
        </c:majorGridlines>
        <c:title>
          <c:tx>
            <c:rich>
              <a:bodyPr rot="-5400000" vert="horz"/>
              <a:lstStyle/>
              <a:p>
                <a:pPr>
                  <a:defRPr sz="1200"/>
                </a:pPr>
                <a:r>
                  <a:rPr lang="en-US" sz="1200"/>
                  <a:t>Accum EROI</a:t>
                </a:r>
              </a:p>
            </c:rich>
          </c:tx>
          <c:layout/>
          <c:spPr>
            <a:noFill/>
            <a:ln w="25400">
              <a:noFill/>
            </a:ln>
          </c:spPr>
        </c:title>
        <c:numFmt formatCode="0" sourceLinked="0"/>
        <c:tickLblPos val="nextTo"/>
        <c:crossAx val="153874816"/>
        <c:crosses val="autoZero"/>
        <c:crossBetween val="midCat"/>
      </c:valAx>
      <c:valAx>
        <c:axId val="197944448"/>
        <c:scaling>
          <c:orientation val="minMax"/>
        </c:scaling>
        <c:delete val="1"/>
        <c:axPos val="r"/>
        <c:numFmt formatCode="0.00" sourceLinked="1"/>
        <c:tickLblPos val="none"/>
        <c:crossAx val="197946752"/>
        <c:crosses val="max"/>
        <c:crossBetween val="midCat"/>
      </c:valAx>
      <c:valAx>
        <c:axId val="197946752"/>
        <c:scaling>
          <c:orientation val="minMax"/>
          <c:max val="100"/>
        </c:scaling>
        <c:axPos val="t"/>
        <c:title>
          <c:tx>
            <c:rich>
              <a:bodyPr/>
              <a:lstStyle/>
              <a:p>
                <a:pPr>
                  <a:defRPr sz="1200"/>
                </a:pPr>
                <a:r>
                  <a:rPr lang="en-US" sz="1200"/>
                  <a:t>Break Even LCOE ($/MWh)</a:t>
                </a:r>
              </a:p>
            </c:rich>
          </c:tx>
          <c:layout/>
        </c:title>
        <c:numFmt formatCode="&quot;$&quot;#,##0" sourceLinked="0"/>
        <c:tickLblPos val="nextTo"/>
        <c:crossAx val="197944448"/>
        <c:crosses val="max"/>
        <c:crossBetween val="midCat"/>
      </c:valAx>
    </c:plotArea>
    <c:plotVisOnly val="1"/>
    <c:dispBlanksAs val="gap"/>
  </c:chart>
  <c:spPr>
    <a:noFill/>
    <a:ln w="9525">
      <a:noFill/>
    </a:ln>
  </c:spPr>
  <c:printSettings>
    <c:headerFooter/>
    <c:pageMargins b="0.75000000000000322" l="0.70000000000000062" r="0.70000000000000062" t="0.750000000000003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 EROI per Business Unit Scale and LCOE</a:t>
            </a:r>
            <a:endParaRPr lang="en-US"/>
          </a:p>
        </c:rich>
      </c:tx>
      <c:layout>
        <c:manualLayout>
          <c:xMode val="edge"/>
          <c:yMode val="edge"/>
          <c:x val="0.13678612148249952"/>
          <c:y val="1.5380407321083171E-2"/>
        </c:manualLayout>
      </c:layout>
      <c:spPr>
        <a:noFill/>
        <a:ln w="25400">
          <a:noFill/>
        </a:ln>
      </c:spPr>
    </c:title>
    <c:plotArea>
      <c:layout>
        <c:manualLayout>
          <c:layoutTarget val="inner"/>
          <c:xMode val="edge"/>
          <c:yMode val="edge"/>
          <c:x val="0.11951025613997707"/>
          <c:y val="0.21019158920682643"/>
          <c:w val="0.7903724846894139"/>
          <c:h val="0.64966894512055751"/>
        </c:manualLayout>
      </c:layout>
      <c:scatterChart>
        <c:scatterStyle val="lineMarker"/>
        <c:ser>
          <c:idx val="1"/>
          <c:order val="0"/>
          <c:tx>
            <c:strRef>
              <c:f>'Project LCA &amp; TEA'!$F$26</c:f>
              <c:strCache>
                <c:ptCount val="1"/>
                <c:pt idx="0">
                  <c:v>Accum EROI</c:v>
                </c:pt>
              </c:strCache>
            </c:strRef>
          </c:tx>
          <c:spPr>
            <a:ln>
              <a:solidFill>
                <a:schemeClr val="tx1"/>
              </a:solidFill>
              <a:prstDash val="solid"/>
            </a:ln>
          </c:spPr>
          <c:marker>
            <c:symbol val="square"/>
            <c:size val="7"/>
            <c:spPr>
              <a:solidFill>
                <a:schemeClr val="tx1"/>
              </a:solidFill>
              <a:ln>
                <a:solidFill>
                  <a:prstClr val="black"/>
                </a:solidFill>
              </a:ln>
            </c:spPr>
          </c:marker>
          <c:dPt>
            <c:idx val="0"/>
            <c:marker>
              <c:symbol val="none"/>
            </c:marker>
          </c:dPt>
          <c:dPt>
            <c:idx val="2"/>
            <c:marker>
              <c:symbol val="star"/>
              <c:size val="7"/>
              <c:spPr>
                <a:noFill/>
                <a:ln>
                  <a:solidFill>
                    <a:prstClr val="black"/>
                  </a:solidFill>
                </a:ln>
              </c:spPr>
            </c:marker>
          </c:dPt>
          <c:dPt>
            <c:idx val="3"/>
            <c:marker>
              <c:symbol val="none"/>
            </c:marker>
          </c:dPt>
          <c:dPt>
            <c:idx val="4"/>
            <c:marker>
              <c:symbol val="diamond"/>
              <c:size val="7"/>
            </c:marker>
          </c:dPt>
          <c:dPt>
            <c:idx val="5"/>
            <c:marker>
              <c:symbol val="circle"/>
              <c:size val="7"/>
            </c:marker>
          </c:dPt>
          <c:dPt>
            <c:idx val="6"/>
            <c:marker>
              <c:symbol val="triangle"/>
              <c:size val="7"/>
            </c:marker>
          </c:dPt>
          <c:xVal>
            <c:numRef>
              <c:f>'Project LCA &amp; TEA'!$H$22:$N$22</c:f>
              <c:numCache>
                <c:formatCode>0%</c:formatCode>
                <c:ptCount val="7"/>
                <c:pt idx="0">
                  <c:v>1.7330638819765813E-2</c:v>
                </c:pt>
                <c:pt idx="1">
                  <c:v>0.84941389318692062</c:v>
                </c:pt>
                <c:pt idx="2">
                  <c:v>0.91133207917502557</c:v>
                </c:pt>
                <c:pt idx="3">
                  <c:v>0.91777275858199148</c:v>
                </c:pt>
                <c:pt idx="4">
                  <c:v>0.97554426041314901</c:v>
                </c:pt>
                <c:pt idx="5">
                  <c:v>1</c:v>
                </c:pt>
                <c:pt idx="6">
                  <c:v>0.99812575566559425</c:v>
                </c:pt>
              </c:numCache>
            </c:numRef>
          </c:xVal>
          <c:yVal>
            <c:numRef>
              <c:f>'Project LCA &amp; TEA'!$H$26:$N$26</c:f>
              <c:numCache>
                <c:formatCode>0.00</c:formatCode>
                <c:ptCount val="7"/>
                <c:pt idx="0">
                  <c:v>30.993325900013321</c:v>
                </c:pt>
                <c:pt idx="1">
                  <c:v>8.8498356974763883</c:v>
                </c:pt>
                <c:pt idx="2">
                  <c:v>8.0299597663034934</c:v>
                </c:pt>
                <c:pt idx="3">
                  <c:v>7.9345300678001571</c:v>
                </c:pt>
                <c:pt idx="4">
                  <c:v>7.150236071463314</c:v>
                </c:pt>
                <c:pt idx="5">
                  <c:v>4.4883602532864337</c:v>
                </c:pt>
                <c:pt idx="6">
                  <c:v>4.5938298683706451</c:v>
                </c:pt>
              </c:numCache>
            </c:numRef>
          </c:yVal>
        </c:ser>
        <c:axId val="198833280"/>
        <c:axId val="201926144"/>
      </c:scatterChart>
      <c:scatterChart>
        <c:scatterStyle val="lineMarker"/>
        <c:ser>
          <c:idx val="2"/>
          <c:order val="1"/>
          <c:tx>
            <c:v>EROI vs LCOE</c:v>
          </c:tx>
          <c:spPr>
            <a:ln w="22225">
              <a:solidFill>
                <a:schemeClr val="bg1">
                  <a:lumMod val="50000"/>
                </a:schemeClr>
              </a:solidFill>
              <a:prstDash val="sysDash"/>
            </a:ln>
          </c:spPr>
          <c:marker>
            <c:symbol val="none"/>
          </c:marker>
          <c:dPt>
            <c:idx val="1"/>
            <c:marker>
              <c:symbol val="square"/>
              <c:size val="7"/>
            </c:marker>
          </c:dPt>
          <c:dPt>
            <c:idx val="2"/>
            <c:marker>
              <c:symbol val="star"/>
              <c:size val="7"/>
              <c:spPr>
                <a:noFill/>
                <a:ln>
                  <a:solidFill>
                    <a:prstClr val="white">
                      <a:lumMod val="50000"/>
                    </a:prstClr>
                  </a:solidFill>
                </a:ln>
              </c:spPr>
            </c:marker>
          </c:dPt>
          <c:dPt>
            <c:idx val="4"/>
            <c:marker>
              <c:symbol val="diamond"/>
              <c:size val="7"/>
            </c:marker>
          </c:dPt>
          <c:dPt>
            <c:idx val="5"/>
            <c:marker>
              <c:symbol val="circle"/>
              <c:size val="7"/>
            </c:marker>
          </c:dPt>
          <c:dPt>
            <c:idx val="6"/>
            <c:marker>
              <c:symbol val="triangle"/>
              <c:size val="7"/>
            </c:marker>
          </c:dPt>
          <c:xVal>
            <c:numRef>
              <c:f>'Project LCA &amp; TEA'!$H$29:$N$29</c:f>
              <c:numCache>
                <c:formatCode>"$"#,##0.00</c:formatCode>
                <c:ptCount val="7"/>
                <c:pt idx="0">
                  <c:v>2.289644721054843</c:v>
                </c:pt>
                <c:pt idx="1">
                  <c:v>58.2</c:v>
                </c:pt>
                <c:pt idx="2">
                  <c:v>66.3</c:v>
                </c:pt>
                <c:pt idx="3">
                  <c:v>67.099999999999994</c:v>
                </c:pt>
                <c:pt idx="4">
                  <c:v>77.699999999999989</c:v>
                </c:pt>
                <c:pt idx="5">
                  <c:v>99</c:v>
                </c:pt>
                <c:pt idx="6">
                  <c:v>78.899999999999991</c:v>
                </c:pt>
              </c:numCache>
            </c:numRef>
          </c:xVal>
          <c:yVal>
            <c:numRef>
              <c:f>'Project LCA &amp; TEA'!$H$26:$N$26</c:f>
              <c:numCache>
                <c:formatCode>0.00</c:formatCode>
                <c:ptCount val="7"/>
                <c:pt idx="0">
                  <c:v>30.993325900013321</c:v>
                </c:pt>
                <c:pt idx="1">
                  <c:v>8.8498356974763883</c:v>
                </c:pt>
                <c:pt idx="2">
                  <c:v>8.0299597663034934</c:v>
                </c:pt>
                <c:pt idx="3">
                  <c:v>7.9345300678001571</c:v>
                </c:pt>
                <c:pt idx="4">
                  <c:v>7.150236071463314</c:v>
                </c:pt>
                <c:pt idx="5">
                  <c:v>4.4883602532864337</c:v>
                </c:pt>
                <c:pt idx="6">
                  <c:v>4.5938298683706451</c:v>
                </c:pt>
              </c:numCache>
            </c:numRef>
          </c:yVal>
        </c:ser>
        <c:axId val="202940800"/>
        <c:axId val="202776960"/>
      </c:scatterChart>
      <c:valAx>
        <c:axId val="198833280"/>
        <c:scaling>
          <c:orientation val="minMax"/>
          <c:max val="1"/>
        </c:scaling>
        <c:axPos val="b"/>
        <c:title>
          <c:tx>
            <c:rich>
              <a:bodyPr/>
              <a:lstStyle/>
              <a:p>
                <a:pPr>
                  <a:defRPr sz="1200"/>
                </a:pPr>
                <a:r>
                  <a:rPr lang="en-US" sz="1200" b="1" i="0" u="none" strike="noStrike" baseline="0"/>
                  <a:t>Percentage of NPV of project costs</a:t>
                </a:r>
                <a:endParaRPr lang="en-US" sz="1200"/>
              </a:p>
            </c:rich>
          </c:tx>
          <c:layout>
            <c:manualLayout>
              <c:xMode val="edge"/>
              <c:yMode val="edge"/>
              <c:x val="0.30937219839188768"/>
              <c:y val="0.92414608592664538"/>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1926144"/>
        <c:crosses val="autoZero"/>
        <c:crossBetween val="midCat"/>
      </c:valAx>
      <c:valAx>
        <c:axId val="201926144"/>
        <c:scaling>
          <c:orientation val="minMax"/>
        </c:scaling>
        <c:axPos val="l"/>
        <c:majorGridlines>
          <c:spPr>
            <a:ln>
              <a:prstDash val="sysDot"/>
            </a:ln>
          </c:spPr>
        </c:majorGridlines>
        <c:title>
          <c:tx>
            <c:rich>
              <a:bodyPr rot="-5400000" vert="horz"/>
              <a:lstStyle/>
              <a:p>
                <a:pPr>
                  <a:defRPr sz="1200"/>
                </a:pPr>
                <a:r>
                  <a:rPr lang="en-US" sz="1200"/>
                  <a:t>Accum EROI</a:t>
                </a:r>
              </a:p>
            </c:rich>
          </c:tx>
          <c:layout/>
          <c:spPr>
            <a:noFill/>
            <a:ln w="25400">
              <a:noFill/>
            </a:ln>
          </c:spPr>
        </c:title>
        <c:numFmt formatCode="0" sourceLinked="0"/>
        <c:tickLblPos val="nextTo"/>
        <c:crossAx val="198833280"/>
        <c:crosses val="autoZero"/>
        <c:crossBetween val="midCat"/>
      </c:valAx>
      <c:valAx>
        <c:axId val="202776960"/>
        <c:scaling>
          <c:orientation val="minMax"/>
        </c:scaling>
        <c:delete val="1"/>
        <c:axPos val="r"/>
        <c:numFmt formatCode="0.00" sourceLinked="1"/>
        <c:tickLblPos val="none"/>
        <c:crossAx val="202940800"/>
        <c:crosses val="max"/>
        <c:crossBetween val="midCat"/>
      </c:valAx>
      <c:valAx>
        <c:axId val="202940800"/>
        <c:scaling>
          <c:orientation val="minMax"/>
          <c:max val="100"/>
        </c:scaling>
        <c:axPos val="t"/>
        <c:title>
          <c:tx>
            <c:rich>
              <a:bodyPr/>
              <a:lstStyle/>
              <a:p>
                <a:pPr>
                  <a:defRPr sz="1200"/>
                </a:pPr>
                <a:r>
                  <a:rPr lang="en-US" sz="1200"/>
                  <a:t>Break Even LCOE ($/MWh)</a:t>
                </a:r>
              </a:p>
            </c:rich>
          </c:tx>
          <c:layout/>
        </c:title>
        <c:numFmt formatCode="&quot;$&quot;#,##0" sourceLinked="0"/>
        <c:tickLblPos val="nextTo"/>
        <c:crossAx val="202776960"/>
        <c:crosses val="max"/>
        <c:crossBetween val="midCat"/>
      </c:valAx>
    </c:plotArea>
    <c:plotVisOnly val="1"/>
    <c:dispBlanksAs val="gap"/>
  </c:chart>
  <c:spPr>
    <a:noFill/>
    <a:ln w="9525">
      <a:noFill/>
    </a:ln>
  </c:spPr>
  <c:printSettings>
    <c:headerFooter/>
    <c:pageMargins b="0.75000000000000344" l="0.70000000000000062" r="0.70000000000000062" t="0.750000000000003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 EROI per Business Unit Scale and LCOE</a:t>
            </a:r>
            <a:endParaRPr lang="en-US"/>
          </a:p>
        </c:rich>
      </c:tx>
      <c:layout>
        <c:manualLayout>
          <c:xMode val="edge"/>
          <c:yMode val="edge"/>
          <c:x val="0.13678612148249963"/>
          <c:y val="1.5380407321083176E-2"/>
        </c:manualLayout>
      </c:layout>
      <c:spPr>
        <a:noFill/>
        <a:ln w="25400">
          <a:noFill/>
        </a:ln>
      </c:spPr>
    </c:title>
    <c:plotArea>
      <c:layout>
        <c:manualLayout>
          <c:layoutTarget val="inner"/>
          <c:xMode val="edge"/>
          <c:yMode val="edge"/>
          <c:x val="0.11951025613997707"/>
          <c:y val="0.21019158920682643"/>
          <c:w val="0.7903724846894139"/>
          <c:h val="0.64966894512055762"/>
        </c:manualLayout>
      </c:layout>
      <c:scatterChart>
        <c:scatterStyle val="lineMarker"/>
        <c:ser>
          <c:idx val="1"/>
          <c:order val="0"/>
          <c:tx>
            <c:strRef>
              <c:f>'Project LCA &amp; TEA'!$F$26</c:f>
              <c:strCache>
                <c:ptCount val="1"/>
                <c:pt idx="0">
                  <c:v>Accum EROI</c:v>
                </c:pt>
              </c:strCache>
            </c:strRef>
          </c:tx>
          <c:spPr>
            <a:ln>
              <a:solidFill>
                <a:schemeClr val="tx1"/>
              </a:solidFill>
              <a:prstDash val="solid"/>
            </a:ln>
          </c:spPr>
          <c:marker>
            <c:symbol val="square"/>
            <c:size val="7"/>
            <c:spPr>
              <a:solidFill>
                <a:schemeClr val="tx1"/>
              </a:solidFill>
              <a:ln>
                <a:solidFill>
                  <a:prstClr val="black"/>
                </a:solidFill>
              </a:ln>
            </c:spPr>
          </c:marker>
          <c:dPt>
            <c:idx val="0"/>
            <c:marker>
              <c:symbol val="none"/>
            </c:marker>
          </c:dPt>
          <c:dPt>
            <c:idx val="2"/>
            <c:marker>
              <c:symbol val="star"/>
              <c:size val="7"/>
              <c:spPr>
                <a:noFill/>
                <a:ln>
                  <a:solidFill>
                    <a:prstClr val="black"/>
                  </a:solidFill>
                </a:ln>
              </c:spPr>
            </c:marker>
          </c:dPt>
          <c:dPt>
            <c:idx val="3"/>
            <c:marker>
              <c:symbol val="none"/>
            </c:marker>
          </c:dPt>
          <c:dPt>
            <c:idx val="4"/>
            <c:marker>
              <c:symbol val="diamond"/>
              <c:size val="7"/>
            </c:marker>
          </c:dPt>
          <c:dPt>
            <c:idx val="5"/>
            <c:marker>
              <c:symbol val="circle"/>
              <c:size val="7"/>
            </c:marker>
          </c:dPt>
          <c:dPt>
            <c:idx val="6"/>
            <c:marker>
              <c:symbol val="triangle"/>
              <c:size val="7"/>
            </c:marker>
          </c:dPt>
          <c:xVal>
            <c:numRef>
              <c:f>'Project LCA &amp; TEA'!$H$22:$N$22</c:f>
              <c:numCache>
                <c:formatCode>0%</c:formatCode>
                <c:ptCount val="7"/>
                <c:pt idx="0">
                  <c:v>1.7330638819765813E-2</c:v>
                </c:pt>
                <c:pt idx="1">
                  <c:v>0.84941389318692062</c:v>
                </c:pt>
                <c:pt idx="2">
                  <c:v>0.91133207917502557</c:v>
                </c:pt>
                <c:pt idx="3">
                  <c:v>0.91777275858199148</c:v>
                </c:pt>
                <c:pt idx="4">
                  <c:v>0.97554426041314901</c:v>
                </c:pt>
                <c:pt idx="5">
                  <c:v>1</c:v>
                </c:pt>
                <c:pt idx="6">
                  <c:v>0.99812575566559425</c:v>
                </c:pt>
              </c:numCache>
            </c:numRef>
          </c:xVal>
          <c:yVal>
            <c:numRef>
              <c:f>'Project LCA &amp; TEA'!$H$26:$N$26</c:f>
              <c:numCache>
                <c:formatCode>0.00</c:formatCode>
                <c:ptCount val="7"/>
                <c:pt idx="0">
                  <c:v>30.993325900013321</c:v>
                </c:pt>
                <c:pt idx="1">
                  <c:v>8.8498356974763883</c:v>
                </c:pt>
                <c:pt idx="2">
                  <c:v>8.0299597663034934</c:v>
                </c:pt>
                <c:pt idx="3">
                  <c:v>7.9345300678001571</c:v>
                </c:pt>
                <c:pt idx="4">
                  <c:v>7.150236071463314</c:v>
                </c:pt>
                <c:pt idx="5">
                  <c:v>4.4883602532864337</c:v>
                </c:pt>
                <c:pt idx="6">
                  <c:v>4.5938298683706451</c:v>
                </c:pt>
              </c:numCache>
            </c:numRef>
          </c:yVal>
        </c:ser>
        <c:axId val="196117632"/>
        <c:axId val="196119552"/>
      </c:scatterChart>
      <c:scatterChart>
        <c:scatterStyle val="lineMarker"/>
        <c:ser>
          <c:idx val="2"/>
          <c:order val="1"/>
          <c:tx>
            <c:v>EROI vs LCOE</c:v>
          </c:tx>
          <c:spPr>
            <a:ln w="22225">
              <a:solidFill>
                <a:schemeClr val="bg1">
                  <a:lumMod val="50000"/>
                </a:schemeClr>
              </a:solidFill>
              <a:prstDash val="sysDash"/>
            </a:ln>
          </c:spPr>
          <c:marker>
            <c:symbol val="none"/>
          </c:marker>
          <c:dPt>
            <c:idx val="1"/>
            <c:marker>
              <c:symbol val="square"/>
              <c:size val="7"/>
            </c:marker>
          </c:dPt>
          <c:dPt>
            <c:idx val="2"/>
            <c:marker>
              <c:symbol val="star"/>
              <c:size val="7"/>
            </c:marker>
          </c:dPt>
          <c:dPt>
            <c:idx val="4"/>
            <c:marker>
              <c:symbol val="diamond"/>
              <c:size val="7"/>
            </c:marker>
          </c:dPt>
          <c:dPt>
            <c:idx val="5"/>
            <c:marker>
              <c:symbol val="circle"/>
              <c:size val="7"/>
            </c:marker>
          </c:dPt>
          <c:dPt>
            <c:idx val="6"/>
            <c:marker>
              <c:symbol val="triangle"/>
              <c:size val="7"/>
            </c:marker>
          </c:dPt>
          <c:xVal>
            <c:numRef>
              <c:f>'Project LCA &amp; TEA'!$H$29:$N$29</c:f>
              <c:numCache>
                <c:formatCode>"$"#,##0.00</c:formatCode>
                <c:ptCount val="7"/>
                <c:pt idx="0">
                  <c:v>2.289644721054843</c:v>
                </c:pt>
                <c:pt idx="1">
                  <c:v>58.2</c:v>
                </c:pt>
                <c:pt idx="2">
                  <c:v>66.3</c:v>
                </c:pt>
                <c:pt idx="3">
                  <c:v>67.099999999999994</c:v>
                </c:pt>
                <c:pt idx="4">
                  <c:v>77.699999999999989</c:v>
                </c:pt>
                <c:pt idx="5">
                  <c:v>99</c:v>
                </c:pt>
                <c:pt idx="6">
                  <c:v>78.899999999999991</c:v>
                </c:pt>
              </c:numCache>
            </c:numRef>
          </c:xVal>
          <c:yVal>
            <c:numRef>
              <c:f>'Project LCA &amp; TEA'!$H$26:$N$26</c:f>
              <c:numCache>
                <c:formatCode>0.00</c:formatCode>
                <c:ptCount val="7"/>
                <c:pt idx="0">
                  <c:v>30.993325900013321</c:v>
                </c:pt>
                <c:pt idx="1">
                  <c:v>8.8498356974763883</c:v>
                </c:pt>
                <c:pt idx="2">
                  <c:v>8.0299597663034934</c:v>
                </c:pt>
                <c:pt idx="3">
                  <c:v>7.9345300678001571</c:v>
                </c:pt>
                <c:pt idx="4">
                  <c:v>7.150236071463314</c:v>
                </c:pt>
                <c:pt idx="5">
                  <c:v>4.4883602532864337</c:v>
                </c:pt>
                <c:pt idx="6">
                  <c:v>4.5938298683706451</c:v>
                </c:pt>
              </c:numCache>
            </c:numRef>
          </c:yVal>
        </c:ser>
        <c:axId val="197934080"/>
        <c:axId val="197932160"/>
      </c:scatterChart>
      <c:valAx>
        <c:axId val="196117632"/>
        <c:scaling>
          <c:orientation val="minMax"/>
          <c:max val="1"/>
        </c:scaling>
        <c:axPos val="b"/>
        <c:title>
          <c:tx>
            <c:rich>
              <a:bodyPr/>
              <a:lstStyle/>
              <a:p>
                <a:pPr>
                  <a:defRPr sz="1200"/>
                </a:pPr>
                <a:r>
                  <a:rPr lang="en-US" sz="1200" b="1" i="0" u="none" strike="noStrike" baseline="0"/>
                  <a:t>Percentage of NPV of project costs</a:t>
                </a:r>
                <a:endParaRPr lang="en-US" sz="1200"/>
              </a:p>
            </c:rich>
          </c:tx>
          <c:layout>
            <c:manualLayout>
              <c:xMode val="edge"/>
              <c:yMode val="edge"/>
              <c:x val="0.30937219839188795"/>
              <c:y val="0.92414608592664516"/>
            </c:manualLayout>
          </c:layout>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6119552"/>
        <c:crosses val="autoZero"/>
        <c:crossBetween val="midCat"/>
      </c:valAx>
      <c:valAx>
        <c:axId val="196119552"/>
        <c:scaling>
          <c:orientation val="minMax"/>
        </c:scaling>
        <c:axPos val="l"/>
        <c:majorGridlines>
          <c:spPr>
            <a:ln>
              <a:prstDash val="sysDot"/>
            </a:ln>
          </c:spPr>
        </c:majorGridlines>
        <c:title>
          <c:tx>
            <c:rich>
              <a:bodyPr rot="-5400000" vert="horz"/>
              <a:lstStyle/>
              <a:p>
                <a:pPr>
                  <a:defRPr sz="1200"/>
                </a:pPr>
                <a:r>
                  <a:rPr lang="en-US" sz="1200"/>
                  <a:t>Accum EROI</a:t>
                </a:r>
              </a:p>
            </c:rich>
          </c:tx>
          <c:layout/>
          <c:spPr>
            <a:noFill/>
            <a:ln w="25400">
              <a:noFill/>
            </a:ln>
          </c:spPr>
        </c:title>
        <c:numFmt formatCode="0" sourceLinked="0"/>
        <c:tickLblPos val="nextTo"/>
        <c:crossAx val="196117632"/>
        <c:crosses val="autoZero"/>
        <c:crossBetween val="midCat"/>
      </c:valAx>
      <c:valAx>
        <c:axId val="197932160"/>
        <c:scaling>
          <c:orientation val="minMax"/>
        </c:scaling>
        <c:delete val="1"/>
        <c:axPos val="r"/>
        <c:numFmt formatCode="0.00" sourceLinked="1"/>
        <c:tickLblPos val="none"/>
        <c:crossAx val="197934080"/>
        <c:crosses val="max"/>
        <c:crossBetween val="midCat"/>
      </c:valAx>
      <c:valAx>
        <c:axId val="197934080"/>
        <c:scaling>
          <c:orientation val="minMax"/>
          <c:max val="100"/>
        </c:scaling>
        <c:axPos val="t"/>
        <c:title>
          <c:tx>
            <c:rich>
              <a:bodyPr/>
              <a:lstStyle/>
              <a:p>
                <a:pPr>
                  <a:defRPr sz="1200"/>
                </a:pPr>
                <a:r>
                  <a:rPr lang="en-US" sz="1200"/>
                  <a:t>Break Even LCOE ($/MWh)</a:t>
                </a:r>
              </a:p>
            </c:rich>
          </c:tx>
          <c:layout/>
        </c:title>
        <c:numFmt formatCode="&quot;$&quot;#,##0" sourceLinked="0"/>
        <c:tickLblPos val="nextTo"/>
        <c:crossAx val="197932160"/>
        <c:crosses val="max"/>
        <c:crossBetween val="midCat"/>
      </c:valAx>
    </c:plotArea>
    <c:plotVisOnly val="1"/>
    <c:dispBlanksAs val="gap"/>
  </c:chart>
  <c:spPr>
    <a:noFill/>
    <a:ln w="9525">
      <a:noFill/>
    </a:ln>
  </c:spPr>
  <c:printSettings>
    <c:headerFooter/>
    <c:pageMargins b="0.75000000000000366" l="0.70000000000000062" r="0.70000000000000062" t="0.750000000000003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14</xdr:col>
      <xdr:colOff>208989</xdr:colOff>
      <xdr:row>1</xdr:row>
      <xdr:rowOff>201706</xdr:rowOff>
    </xdr:from>
    <xdr:to>
      <xdr:col>29</xdr:col>
      <xdr:colOff>547364</xdr:colOff>
      <xdr:row>47</xdr:row>
      <xdr:rowOff>125506</xdr:rowOff>
    </xdr:to>
    <xdr:grpSp>
      <xdr:nvGrpSpPr>
        <xdr:cNvPr id="2216" name="Group 30"/>
        <xdr:cNvGrpSpPr>
          <a:grpSpLocks/>
        </xdr:cNvGrpSpPr>
      </xdr:nvGrpSpPr>
      <xdr:grpSpPr bwMode="auto">
        <a:xfrm>
          <a:off x="14787842" y="392206"/>
          <a:ext cx="11443404" cy="9336741"/>
          <a:chOff x="12962612" y="-404287"/>
          <a:chExt cx="11446312" cy="9500207"/>
        </a:xfrm>
      </xdr:grpSpPr>
      <xdr:sp macro="" textlink="">
        <xdr:nvSpPr>
          <xdr:cNvPr id="40" name="TextBox 39"/>
          <xdr:cNvSpPr txBox="1"/>
        </xdr:nvSpPr>
        <xdr:spPr>
          <a:xfrm>
            <a:off x="12962612" y="-404287"/>
            <a:ext cx="11446312" cy="9500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graphicFrame macro="">
        <xdr:nvGraphicFramePr>
          <xdr:cNvPr id="2226" name="Chart 44"/>
          <xdr:cNvGraphicFramePr>
            <a:graphicFrameLocks/>
          </xdr:cNvGraphicFramePr>
        </xdr:nvGraphicFramePr>
        <xdr:xfrm>
          <a:off x="13072546" y="-204716"/>
          <a:ext cx="5345387" cy="482483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227" name="Chart 45"/>
          <xdr:cNvGraphicFramePr>
            <a:graphicFrameLocks/>
          </xdr:cNvGraphicFramePr>
        </xdr:nvGraphicFramePr>
        <xdr:xfrm>
          <a:off x="13092146" y="4430595"/>
          <a:ext cx="5307268" cy="450052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228" name="Chart 50"/>
          <xdr:cNvGraphicFramePr>
            <a:graphicFrameLocks/>
          </xdr:cNvGraphicFramePr>
        </xdr:nvGraphicFramePr>
        <xdr:xfrm>
          <a:off x="18556730" y="4296020"/>
          <a:ext cx="5228156" cy="469811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229" name="Chart 20"/>
          <xdr:cNvGraphicFramePr>
            <a:graphicFrameLocks/>
          </xdr:cNvGraphicFramePr>
        </xdr:nvGraphicFramePr>
        <xdr:xfrm>
          <a:off x="18535088" y="-204716"/>
          <a:ext cx="5345387" cy="4824831"/>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xdr:col>
      <xdr:colOff>178275</xdr:colOff>
      <xdr:row>71</xdr:row>
      <xdr:rowOff>17828</xdr:rowOff>
    </xdr:from>
    <xdr:to>
      <xdr:col>11</xdr:col>
      <xdr:colOff>618361</xdr:colOff>
      <xdr:row>74</xdr:row>
      <xdr:rowOff>78440</xdr:rowOff>
    </xdr:to>
    <xdr:sp macro="" textlink="">
      <xdr:nvSpPr>
        <xdr:cNvPr id="54" name="TextBox 53"/>
        <xdr:cNvSpPr txBox="1"/>
      </xdr:nvSpPr>
      <xdr:spPr>
        <a:xfrm>
          <a:off x="5792422" y="14518240"/>
          <a:ext cx="5673233" cy="632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EIA AER 2008 states 8,520 Btu/chained 2000 dollar for 2008. Mulitiplying by 0.808 to inflation adust to year 2008</a:t>
          </a:r>
          <a:r>
            <a:rPr lang="en-US" sz="1100" baseline="0"/>
            <a:t> $'s</a:t>
          </a:r>
          <a:r>
            <a:rPr lang="en-US" sz="1100"/>
            <a:t> is 6884 Btu/$.</a:t>
          </a:r>
          <a:r>
            <a:rPr lang="en-US" sz="1100" baseline="0"/>
            <a:t>   6000btu/$ picked to reflect projected IEA data for inflation and declining intensity trends, and  be a round number.</a:t>
          </a:r>
          <a:endParaRPr lang="en-US" sz="1100"/>
        </a:p>
      </xdr:txBody>
    </xdr:sp>
    <xdr:clientData/>
  </xdr:twoCellAnchor>
  <xdr:twoCellAnchor>
    <xdr:from>
      <xdr:col>1</xdr:col>
      <xdr:colOff>73060</xdr:colOff>
      <xdr:row>1</xdr:row>
      <xdr:rowOff>533533</xdr:rowOff>
    </xdr:from>
    <xdr:to>
      <xdr:col>11</xdr:col>
      <xdr:colOff>537883</xdr:colOff>
      <xdr:row>5</xdr:row>
      <xdr:rowOff>48025</xdr:rowOff>
    </xdr:to>
    <xdr:sp macro="" textlink="">
      <xdr:nvSpPr>
        <xdr:cNvPr id="17" name="TextBox 16"/>
        <xdr:cNvSpPr txBox="1"/>
      </xdr:nvSpPr>
      <xdr:spPr>
        <a:xfrm>
          <a:off x="678178" y="724033"/>
          <a:ext cx="10706999" cy="668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Windfarm in Texas, conceptual model based on JEDI</a:t>
          </a:r>
          <a:r>
            <a:rPr lang="en-US" sz="1100" baseline="0"/>
            <a:t> Costs and Vestas LCA embodied energy of technology, estimating</a:t>
          </a:r>
          <a:r>
            <a:rPr lang="en-US" sz="1100"/>
            <a:t>and EROI and eIRR with combined</a:t>
          </a:r>
          <a:r>
            <a:rPr lang="en-US" sz="1100" baseline="0"/>
            <a:t> direce and economid energy uses impllied for </a:t>
          </a:r>
          <a:r>
            <a:rPr lang="en-US" sz="1100"/>
            <a:t>FIVE scales of operating system organization</a:t>
          </a:r>
          <a:r>
            <a:rPr lang="en-US" sz="1100" baseline="0"/>
            <a:t>: </a:t>
          </a:r>
          <a:r>
            <a:rPr lang="en-US" sz="1100"/>
            <a:t>LCA, LCA+, TEA1, TEA2 &amp; TEA3 for </a:t>
          </a:r>
          <a:r>
            <a:rPr lang="en-US" sz="1100" baseline="0"/>
            <a:t> 1) the  primary technology as a system, plus the employees who made it, plus the field operation that runs it, plus the business that supports it, plus the investors that set it up and provide it a place to operate.</a:t>
          </a:r>
          <a:endParaRPr lang="en-US" sz="1100"/>
        </a:p>
      </xdr:txBody>
    </xdr:sp>
    <xdr:clientData/>
  </xdr:twoCellAnchor>
  <xdr:twoCellAnchor>
    <xdr:from>
      <xdr:col>18</xdr:col>
      <xdr:colOff>425292</xdr:colOff>
      <xdr:row>41</xdr:row>
      <xdr:rowOff>78442</xdr:rowOff>
    </xdr:from>
    <xdr:to>
      <xdr:col>19</xdr:col>
      <xdr:colOff>694765</xdr:colOff>
      <xdr:row>42</xdr:row>
      <xdr:rowOff>179296</xdr:rowOff>
    </xdr:to>
    <xdr:sp macro="" textlink="">
      <xdr:nvSpPr>
        <xdr:cNvPr id="52" name="TextBox 2"/>
        <xdr:cNvSpPr txBox="1"/>
      </xdr:nvSpPr>
      <xdr:spPr>
        <a:xfrm>
          <a:off x="17962498" y="8538883"/>
          <a:ext cx="986649" cy="291354"/>
        </a:xfrm>
        <a:prstGeom prst="rect">
          <a:avLst/>
        </a:prstGeom>
        <a:noFill/>
      </xdr:spPr>
      <xdr:txBody>
        <a:bodyPr wrap="square" lIns="0" tIns="0" rIns="0" bIns="0"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latin typeface="+mn-lt"/>
              <a:ea typeface="+mn-ea"/>
              <a:cs typeface="+mn-cs"/>
            </a:rPr>
            <a:t>nominal</a:t>
          </a:r>
          <a:r>
            <a:rPr lang="en-US" sz="1100" baseline="0">
              <a:latin typeface="+mn-lt"/>
              <a:ea typeface="+mn-ea"/>
              <a:cs typeface="+mn-cs"/>
            </a:rPr>
            <a:t>  range of finanical IRR</a:t>
          </a:r>
          <a:endParaRPr lang="en-US" sz="1100">
            <a:latin typeface="+mn-lt"/>
            <a:ea typeface="+mn-ea"/>
            <a:cs typeface="+mn-cs"/>
          </a:endParaRPr>
        </a:p>
      </xdr:txBody>
    </xdr:sp>
    <xdr:clientData/>
  </xdr:twoCellAnchor>
  <xdr:twoCellAnchor>
    <xdr:from>
      <xdr:col>18</xdr:col>
      <xdr:colOff>109041</xdr:colOff>
      <xdr:row>41</xdr:row>
      <xdr:rowOff>33619</xdr:rowOff>
    </xdr:from>
    <xdr:to>
      <xdr:col>18</xdr:col>
      <xdr:colOff>411169</xdr:colOff>
      <xdr:row>43</xdr:row>
      <xdr:rowOff>33619</xdr:rowOff>
    </xdr:to>
    <xdr:sp macro="" textlink="">
      <xdr:nvSpPr>
        <xdr:cNvPr id="49" name="Right Brace 48"/>
        <xdr:cNvSpPr/>
      </xdr:nvSpPr>
      <xdr:spPr>
        <a:xfrm>
          <a:off x="17646247" y="8494060"/>
          <a:ext cx="302128" cy="381000"/>
        </a:xfrm>
        <a:prstGeom prst="rightBrace">
          <a:avLst>
            <a:gd name="adj1" fmla="val 26098"/>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a:lstStyle/>
        <a:p>
          <a:endParaRPr lang="en-US"/>
        </a:p>
      </xdr:txBody>
    </xdr:sp>
    <xdr:clientData/>
  </xdr:twoCellAnchor>
  <xdr:twoCellAnchor>
    <xdr:from>
      <xdr:col>6</xdr:col>
      <xdr:colOff>323850</xdr:colOff>
      <xdr:row>31</xdr:row>
      <xdr:rowOff>85725</xdr:rowOff>
    </xdr:from>
    <xdr:to>
      <xdr:col>11</xdr:col>
      <xdr:colOff>123825</xdr:colOff>
      <xdr:row>54</xdr:row>
      <xdr:rowOff>9525</xdr:rowOff>
    </xdr:to>
    <xdr:graphicFrame macro="">
      <xdr:nvGraphicFramePr>
        <xdr:cNvPr id="222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212914</xdr:colOff>
      <xdr:row>37</xdr:row>
      <xdr:rowOff>149597</xdr:rowOff>
    </xdr:from>
    <xdr:to>
      <xdr:col>16</xdr:col>
      <xdr:colOff>493061</xdr:colOff>
      <xdr:row>39</xdr:row>
      <xdr:rowOff>44822</xdr:rowOff>
    </xdr:to>
    <xdr:sp macro="" textlink="">
      <xdr:nvSpPr>
        <xdr:cNvPr id="16" name="Right Brace 15"/>
        <xdr:cNvSpPr/>
      </xdr:nvSpPr>
      <xdr:spPr>
        <a:xfrm rot="16200000">
          <a:off x="16183257" y="7846077"/>
          <a:ext cx="276225" cy="280147"/>
        </a:xfrm>
        <a:prstGeom prst="rightBrace">
          <a:avLst>
            <a:gd name="adj1" fmla="val 14159"/>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a:lstStyle/>
        <a:p>
          <a:endParaRPr lang="en-US"/>
        </a:p>
      </xdr:txBody>
    </xdr:sp>
    <xdr:clientData/>
  </xdr:twoCellAnchor>
  <xdr:twoCellAnchor>
    <xdr:from>
      <xdr:col>15</xdr:col>
      <xdr:colOff>195303</xdr:colOff>
      <xdr:row>41</xdr:row>
      <xdr:rowOff>44826</xdr:rowOff>
    </xdr:from>
    <xdr:to>
      <xdr:col>18</xdr:col>
      <xdr:colOff>83243</xdr:colOff>
      <xdr:row>43</xdr:row>
      <xdr:rowOff>44826</xdr:rowOff>
    </xdr:to>
    <xdr:sp macro="" textlink="">
      <xdr:nvSpPr>
        <xdr:cNvPr id="18" name="Rectangle 17"/>
        <xdr:cNvSpPr/>
      </xdr:nvSpPr>
      <xdr:spPr>
        <a:xfrm>
          <a:off x="15516946" y="8535683"/>
          <a:ext cx="2296404" cy="381000"/>
        </a:xfrm>
        <a:prstGeom prst="rect">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20</xdr:col>
      <xdr:colOff>324971</xdr:colOff>
      <xdr:row>49</xdr:row>
      <xdr:rowOff>33618</xdr:rowOff>
    </xdr:from>
    <xdr:to>
      <xdr:col>27</xdr:col>
      <xdr:colOff>610656</xdr:colOff>
      <xdr:row>71</xdr:row>
      <xdr:rowOff>131235</xdr:rowOff>
    </xdr:to>
    <xdr:graphicFrame macro="">
      <xdr:nvGraphicFramePr>
        <xdr:cNvPr id="19"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403412</xdr:colOff>
      <xdr:row>47</xdr:row>
      <xdr:rowOff>179294</xdr:rowOff>
    </xdr:from>
    <xdr:to>
      <xdr:col>20</xdr:col>
      <xdr:colOff>301382</xdr:colOff>
      <xdr:row>72</xdr:row>
      <xdr:rowOff>24135</xdr:rowOff>
    </xdr:to>
    <xdr:graphicFrame macro="">
      <xdr:nvGraphicFramePr>
        <xdr:cNvPr id="20"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107674</xdr:colOff>
      <xdr:row>73</xdr:row>
      <xdr:rowOff>132522</xdr:rowOff>
    </xdr:from>
    <xdr:to>
      <xdr:col>21</xdr:col>
      <xdr:colOff>47057</xdr:colOff>
      <xdr:row>96</xdr:row>
      <xdr:rowOff>83854</xdr:rowOff>
    </xdr:to>
    <xdr:graphicFrame macro="">
      <xdr:nvGraphicFramePr>
        <xdr:cNvPr id="21"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0</xdr:colOff>
      <xdr:row>74</xdr:row>
      <xdr:rowOff>0</xdr:rowOff>
    </xdr:from>
    <xdr:to>
      <xdr:col>28</xdr:col>
      <xdr:colOff>278969</xdr:colOff>
      <xdr:row>96</xdr:row>
      <xdr:rowOff>141832</xdr:rowOff>
    </xdr:to>
    <xdr:graphicFrame macro="">
      <xdr:nvGraphicFramePr>
        <xdr:cNvPr id="2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353786</xdr:colOff>
      <xdr:row>8</xdr:row>
      <xdr:rowOff>28017</xdr:rowOff>
    </xdr:from>
    <xdr:to>
      <xdr:col>9</xdr:col>
      <xdr:colOff>324971</xdr:colOff>
      <xdr:row>32</xdr:row>
      <xdr:rowOff>11206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97</xdr:row>
      <xdr:rowOff>114300</xdr:rowOff>
    </xdr:from>
    <xdr:to>
      <xdr:col>11</xdr:col>
      <xdr:colOff>428625</xdr:colOff>
      <xdr:row>124</xdr:row>
      <xdr:rowOff>114300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162485</xdr:rowOff>
    </xdr:from>
    <xdr:to>
      <xdr:col>3</xdr:col>
      <xdr:colOff>109435</xdr:colOff>
      <xdr:row>0</xdr:row>
      <xdr:rowOff>675144</xdr:rowOff>
    </xdr:to>
    <xdr:pic>
      <xdr:nvPicPr>
        <xdr:cNvPr id="5121"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0" y="162485"/>
          <a:ext cx="4266817" cy="51265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771525</xdr:colOff>
      <xdr:row>1</xdr:row>
      <xdr:rowOff>104775</xdr:rowOff>
    </xdr:from>
    <xdr:to>
      <xdr:col>9</xdr:col>
      <xdr:colOff>352425</xdr:colOff>
      <xdr:row>2</xdr:row>
      <xdr:rowOff>590550</xdr:rowOff>
    </xdr:to>
    <xdr:pic>
      <xdr:nvPicPr>
        <xdr:cNvPr id="17409" name="Picture 1"/>
        <xdr:cNvPicPr>
          <a:picLocks noChangeAspect="1" noChangeArrowheads="1"/>
        </xdr:cNvPicPr>
      </xdr:nvPicPr>
      <xdr:blipFill>
        <a:blip xmlns:r="http://schemas.openxmlformats.org/officeDocument/2006/relationships" r:embed="rId1" cstate="print"/>
        <a:srcRect l="11736" t="38110" r="72014" b="53778"/>
        <a:stretch>
          <a:fillRect/>
        </a:stretch>
      </xdr:blipFill>
      <xdr:spPr bwMode="auto">
        <a:xfrm>
          <a:off x="7715250" y="295275"/>
          <a:ext cx="2457450" cy="676275"/>
        </a:xfrm>
        <a:prstGeom prst="rect">
          <a:avLst/>
        </a:prstGeom>
        <a:noFill/>
        <a:ln w="1">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28575</xdr:colOff>
      <xdr:row>2</xdr:row>
      <xdr:rowOff>333375</xdr:rowOff>
    </xdr:from>
    <xdr:to>
      <xdr:col>17</xdr:col>
      <xdr:colOff>1228725</xdr:colOff>
      <xdr:row>13</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428625</xdr:colOff>
      <xdr:row>2</xdr:row>
      <xdr:rowOff>276225</xdr:rowOff>
    </xdr:from>
    <xdr:to>
      <xdr:col>24</xdr:col>
      <xdr:colOff>581025</xdr:colOff>
      <xdr:row>12</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0.13465</cdr:x>
      <cdr:y>0.19261</cdr:y>
    </cdr:from>
    <cdr:to>
      <cdr:x>0.22399</cdr:x>
      <cdr:y>0.24931</cdr:y>
    </cdr:to>
    <cdr:sp macro="" textlink="">
      <cdr:nvSpPr>
        <cdr:cNvPr id="3" name="TextBox 2"/>
        <cdr:cNvSpPr txBox="1"/>
      </cdr:nvSpPr>
      <cdr:spPr>
        <a:xfrm xmlns:a="http://schemas.openxmlformats.org/drawingml/2006/main">
          <a:off x="719575" y="913336"/>
          <a:ext cx="477435" cy="2688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LCA </a:t>
          </a:r>
        </a:p>
      </cdr:txBody>
    </cdr:sp>
  </cdr:relSizeAnchor>
  <cdr:relSizeAnchor xmlns:cdr="http://schemas.openxmlformats.org/drawingml/2006/chartDrawing">
    <cdr:from>
      <cdr:x>0.54767</cdr:x>
      <cdr:y>0.62233</cdr:y>
    </cdr:from>
    <cdr:to>
      <cdr:x>0.66046</cdr:x>
      <cdr:y>0.70945</cdr:y>
    </cdr:to>
    <cdr:sp macro="" textlink="">
      <cdr:nvSpPr>
        <cdr:cNvPr id="4" name="TextBox 3"/>
        <cdr:cNvSpPr txBox="1"/>
      </cdr:nvSpPr>
      <cdr:spPr>
        <a:xfrm xmlns:a="http://schemas.openxmlformats.org/drawingml/2006/main">
          <a:off x="2926750" y="2950960"/>
          <a:ext cx="602753" cy="413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SEA 1</a:t>
          </a:r>
        </a:p>
      </cdr:txBody>
    </cdr:sp>
  </cdr:relSizeAnchor>
  <cdr:relSizeAnchor xmlns:cdr="http://schemas.openxmlformats.org/drawingml/2006/chartDrawing">
    <cdr:from>
      <cdr:x>0.58178</cdr:x>
      <cdr:y>0.70211</cdr:y>
    </cdr:from>
    <cdr:to>
      <cdr:x>0.67634</cdr:x>
      <cdr:y>0.76449</cdr:y>
    </cdr:to>
    <cdr:sp macro="" textlink="">
      <cdr:nvSpPr>
        <cdr:cNvPr id="5" name="TextBox 4"/>
        <cdr:cNvSpPr txBox="1"/>
      </cdr:nvSpPr>
      <cdr:spPr>
        <a:xfrm xmlns:a="http://schemas.openxmlformats.org/drawingml/2006/main">
          <a:off x="3109042" y="3329274"/>
          <a:ext cx="505332" cy="295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SEA 2</a:t>
          </a:r>
        </a:p>
      </cdr:txBody>
    </cdr:sp>
  </cdr:relSizeAnchor>
  <cdr:relSizeAnchor xmlns:cdr="http://schemas.openxmlformats.org/drawingml/2006/chartDrawing">
    <cdr:from>
      <cdr:x>0.72777</cdr:x>
      <cdr:y>0.65361</cdr:y>
    </cdr:from>
    <cdr:to>
      <cdr:x>0.85322</cdr:x>
      <cdr:y>0.74049</cdr:y>
    </cdr:to>
    <cdr:sp macro="" textlink="">
      <cdr:nvSpPr>
        <cdr:cNvPr id="6" name="TextBox 5"/>
        <cdr:cNvSpPr txBox="1"/>
      </cdr:nvSpPr>
      <cdr:spPr>
        <a:xfrm xmlns:a="http://schemas.openxmlformats.org/drawingml/2006/main">
          <a:off x="3889210" y="3099285"/>
          <a:ext cx="670408" cy="4119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SEA 3.0</a:t>
          </a:r>
        </a:p>
      </cdr:txBody>
    </cdr:sp>
  </cdr:relSizeAnchor>
  <cdr:relSizeAnchor xmlns:cdr="http://schemas.openxmlformats.org/drawingml/2006/chartDrawing">
    <cdr:from>
      <cdr:x>0.50098</cdr:x>
      <cdr:y>0.68277</cdr:y>
    </cdr:from>
    <cdr:to>
      <cdr:x>0.59007</cdr:x>
      <cdr:y>0.7699</cdr:y>
    </cdr:to>
    <cdr:sp macro="" textlink="">
      <cdr:nvSpPr>
        <cdr:cNvPr id="7" name="TextBox 6"/>
        <cdr:cNvSpPr txBox="1"/>
      </cdr:nvSpPr>
      <cdr:spPr>
        <a:xfrm xmlns:a="http://schemas.openxmlformats.org/drawingml/2006/main">
          <a:off x="2677243" y="3237563"/>
          <a:ext cx="476099" cy="413154"/>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en-US" sz="1100"/>
            <a:t>SEA</a:t>
          </a:r>
          <a:r>
            <a:rPr lang="en-US" sz="1100" baseline="0"/>
            <a:t> 0</a:t>
          </a:r>
          <a:endParaRPr lang="en-US" sz="1100"/>
        </a:p>
      </cdr:txBody>
    </cdr:sp>
  </cdr:relSizeAnchor>
  <cdr:relSizeAnchor xmlns:cdr="http://schemas.openxmlformats.org/drawingml/2006/chartDrawing">
    <cdr:from>
      <cdr:x>0.87922</cdr:x>
      <cdr:y>0.7125</cdr:y>
    </cdr:from>
    <cdr:to>
      <cdr:x>0.97619</cdr:x>
      <cdr:y>0.76213</cdr:y>
    </cdr:to>
    <cdr:sp macro="" textlink="">
      <cdr:nvSpPr>
        <cdr:cNvPr id="12" name="TextBox 11"/>
        <cdr:cNvSpPr txBox="1"/>
      </cdr:nvSpPr>
      <cdr:spPr>
        <a:xfrm xmlns:a="http://schemas.openxmlformats.org/drawingml/2006/main">
          <a:off x="4698570" y="3378540"/>
          <a:ext cx="518240" cy="2353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a:t>SEA 3.1</a:t>
          </a:r>
        </a:p>
      </cdr:txBody>
    </cdr:sp>
  </cdr:relSizeAnchor>
  <cdr:relSizeAnchor xmlns:cdr="http://schemas.openxmlformats.org/drawingml/2006/chartDrawing">
    <cdr:from>
      <cdr:x>0.70779</cdr:x>
      <cdr:y>0.7574</cdr:y>
    </cdr:from>
    <cdr:to>
      <cdr:x>0.85856</cdr:x>
      <cdr:y>0.85666</cdr:y>
    </cdr:to>
    <cdr:sp macro="" textlink="">
      <cdr:nvSpPr>
        <cdr:cNvPr id="13" name="TextBox 12"/>
        <cdr:cNvSpPr txBox="1"/>
      </cdr:nvSpPr>
      <cdr:spPr>
        <a:xfrm xmlns:a="http://schemas.openxmlformats.org/drawingml/2006/main">
          <a:off x="3782451" y="3591449"/>
          <a:ext cx="805720" cy="47064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lgn="ctr"/>
          <a:r>
            <a:rPr lang="en-US" sz="1100"/>
            <a:t>PTC</a:t>
          </a:r>
        </a:p>
      </cdr:txBody>
    </cdr:sp>
  </cdr:relSizeAnchor>
</c:userShapes>
</file>

<file path=xl/drawings/drawing3.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0.23611</cdr:x>
      <cdr:y>0.71464</cdr:y>
    </cdr:from>
    <cdr:to>
      <cdr:x>0.36009</cdr:x>
      <cdr:y>0.7681</cdr:y>
    </cdr:to>
    <cdr:sp macro="" textlink="">
      <cdr:nvSpPr>
        <cdr:cNvPr id="6" name="TextBox 5"/>
        <cdr:cNvSpPr txBox="1"/>
      </cdr:nvSpPr>
      <cdr:spPr>
        <a:xfrm xmlns:a="http://schemas.openxmlformats.org/drawingml/2006/main">
          <a:off x="1255607" y="3171198"/>
          <a:ext cx="659301" cy="237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SEA 3.0</a:t>
          </a:r>
        </a:p>
      </cdr:txBody>
    </cdr:sp>
  </cdr:relSizeAnchor>
  <cdr:relSizeAnchor xmlns:cdr="http://schemas.openxmlformats.org/drawingml/2006/chartDrawing">
    <cdr:from>
      <cdr:x>0.77991</cdr:x>
      <cdr:y>0.19633</cdr:y>
    </cdr:from>
    <cdr:to>
      <cdr:x>0.87331</cdr:x>
      <cdr:y>0.26086</cdr:y>
    </cdr:to>
    <cdr:sp macro="" textlink="">
      <cdr:nvSpPr>
        <cdr:cNvPr id="12" name="TextBox 1"/>
        <cdr:cNvSpPr txBox="1"/>
      </cdr:nvSpPr>
      <cdr:spPr>
        <a:xfrm xmlns:a="http://schemas.openxmlformats.org/drawingml/2006/main">
          <a:off x="4138159" y="868365"/>
          <a:ext cx="495573" cy="285445"/>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000"/>
            <a:t>LCA</a:t>
          </a:r>
        </a:p>
      </cdr:txBody>
    </cdr:sp>
  </cdr:relSizeAnchor>
  <cdr:relSizeAnchor xmlns:cdr="http://schemas.openxmlformats.org/drawingml/2006/chartDrawing">
    <cdr:from>
      <cdr:x>0.24033</cdr:x>
      <cdr:y>0.5179</cdr:y>
    </cdr:from>
    <cdr:to>
      <cdr:x>0.39028</cdr:x>
      <cdr:y>0.60219</cdr:y>
    </cdr:to>
    <cdr:sp macro="" textlink="">
      <cdr:nvSpPr>
        <cdr:cNvPr id="14" name="TextBox 1"/>
        <cdr:cNvSpPr txBox="1"/>
      </cdr:nvSpPr>
      <cdr:spPr>
        <a:xfrm xmlns:a="http://schemas.openxmlformats.org/drawingml/2006/main">
          <a:off x="1275160" y="2290719"/>
          <a:ext cx="795616" cy="372822"/>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000"/>
            <a:t>SEA</a:t>
          </a:r>
          <a:r>
            <a:rPr lang="en-US" sz="1000" baseline="0"/>
            <a:t> 0, SEA 1, SEA 2</a:t>
          </a:r>
          <a:endParaRPr lang="en-US" sz="1000"/>
        </a:p>
      </cdr:txBody>
    </cdr:sp>
  </cdr:relSizeAnchor>
  <cdr:relSizeAnchor xmlns:cdr="http://schemas.openxmlformats.org/drawingml/2006/chartDrawing">
    <cdr:from>
      <cdr:x>0.16177</cdr:x>
      <cdr:y>0.65018</cdr:y>
    </cdr:from>
    <cdr:to>
      <cdr:x>0.28575</cdr:x>
      <cdr:y>0.70364</cdr:y>
    </cdr:to>
    <cdr:sp macro="" textlink="">
      <cdr:nvSpPr>
        <cdr:cNvPr id="11" name="TextBox 1"/>
        <cdr:cNvSpPr txBox="1"/>
      </cdr:nvSpPr>
      <cdr:spPr>
        <a:xfrm xmlns:a="http://schemas.openxmlformats.org/drawingml/2006/main">
          <a:off x="860249" y="2885153"/>
          <a:ext cx="659300" cy="237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t>PTC</a:t>
          </a:r>
        </a:p>
      </cdr:txBody>
    </cdr:sp>
  </cdr:relSizeAnchor>
  <cdr:relSizeAnchor xmlns:cdr="http://schemas.openxmlformats.org/drawingml/2006/chartDrawing">
    <cdr:from>
      <cdr:x>0.12461</cdr:x>
      <cdr:y>0.71259</cdr:y>
    </cdr:from>
    <cdr:to>
      <cdr:x>0.24859</cdr:x>
      <cdr:y>0.76605</cdr:y>
    </cdr:to>
    <cdr:sp macro="" textlink="">
      <cdr:nvSpPr>
        <cdr:cNvPr id="13" name="TextBox 1"/>
        <cdr:cNvSpPr txBox="1"/>
      </cdr:nvSpPr>
      <cdr:spPr>
        <a:xfrm xmlns:a="http://schemas.openxmlformats.org/drawingml/2006/main">
          <a:off x="662652" y="3162103"/>
          <a:ext cx="659300" cy="237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SEA 3.1</a:t>
          </a:r>
        </a:p>
      </cdr:txBody>
    </cdr:sp>
  </cdr:relSizeAnchor>
</c:userShapes>
</file>

<file path=xl/drawings/drawing4.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0.11649</cdr:x>
      <cdr:y>0.62173</cdr:y>
    </cdr:from>
    <cdr:to>
      <cdr:x>0.20583</cdr:x>
      <cdr:y>0.70886</cdr:y>
    </cdr:to>
    <cdr:sp macro="" textlink="">
      <cdr:nvSpPr>
        <cdr:cNvPr id="3" name="TextBox 2"/>
        <cdr:cNvSpPr txBox="1"/>
      </cdr:nvSpPr>
      <cdr:spPr>
        <a:xfrm xmlns:a="http://schemas.openxmlformats.org/drawingml/2006/main">
          <a:off x="609144" y="2927927"/>
          <a:ext cx="467153" cy="410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LCA</a:t>
          </a:r>
        </a:p>
      </cdr:txBody>
    </cdr:sp>
  </cdr:relSizeAnchor>
  <cdr:relSizeAnchor xmlns:cdr="http://schemas.openxmlformats.org/drawingml/2006/chartDrawing">
    <cdr:from>
      <cdr:x>0.48576</cdr:x>
      <cdr:y>0.37695</cdr:y>
    </cdr:from>
    <cdr:to>
      <cdr:x>0.5988</cdr:x>
      <cdr:y>0.46407</cdr:y>
    </cdr:to>
    <cdr:sp macro="" textlink="">
      <cdr:nvSpPr>
        <cdr:cNvPr id="4" name="TextBox 3"/>
        <cdr:cNvSpPr txBox="1"/>
      </cdr:nvSpPr>
      <cdr:spPr>
        <a:xfrm xmlns:a="http://schemas.openxmlformats.org/drawingml/2006/main">
          <a:off x="2540010" y="1775164"/>
          <a:ext cx="591078" cy="410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LCA+</a:t>
          </a:r>
        </a:p>
      </cdr:txBody>
    </cdr:sp>
  </cdr:relSizeAnchor>
  <cdr:relSizeAnchor xmlns:cdr="http://schemas.openxmlformats.org/drawingml/2006/chartDrawing">
    <cdr:from>
      <cdr:x>0.55865</cdr:x>
      <cdr:y>0.32889</cdr:y>
    </cdr:from>
    <cdr:to>
      <cdr:x>0.67169</cdr:x>
      <cdr:y>0.41601</cdr:y>
    </cdr:to>
    <cdr:sp macro="" textlink="">
      <cdr:nvSpPr>
        <cdr:cNvPr id="5" name="TextBox 4"/>
        <cdr:cNvSpPr txBox="1"/>
      </cdr:nvSpPr>
      <cdr:spPr>
        <a:xfrm xmlns:a="http://schemas.openxmlformats.org/drawingml/2006/main">
          <a:off x="2921140" y="1548865"/>
          <a:ext cx="591079" cy="4102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TEA1</a:t>
          </a:r>
        </a:p>
      </cdr:txBody>
    </cdr:sp>
  </cdr:relSizeAnchor>
  <cdr:relSizeAnchor xmlns:cdr="http://schemas.openxmlformats.org/drawingml/2006/chartDrawing">
    <cdr:from>
      <cdr:x>0.63171</cdr:x>
      <cdr:y>0.29551</cdr:y>
    </cdr:from>
    <cdr:to>
      <cdr:x>0.75569</cdr:x>
      <cdr:y>0.38262</cdr:y>
    </cdr:to>
    <cdr:sp macro="" textlink="">
      <cdr:nvSpPr>
        <cdr:cNvPr id="6" name="TextBox 5"/>
        <cdr:cNvSpPr txBox="1"/>
      </cdr:nvSpPr>
      <cdr:spPr>
        <a:xfrm xmlns:a="http://schemas.openxmlformats.org/drawingml/2006/main">
          <a:off x="3303148" y="1391666"/>
          <a:ext cx="648283" cy="410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TEA2</a:t>
          </a:r>
        </a:p>
      </cdr:txBody>
    </cdr:sp>
  </cdr:relSizeAnchor>
  <cdr:relSizeAnchor xmlns:cdr="http://schemas.openxmlformats.org/drawingml/2006/chartDrawing">
    <cdr:from>
      <cdr:x>0</cdr:x>
      <cdr:y>0.13615</cdr:y>
    </cdr:from>
    <cdr:to>
      <cdr:x>0.30626</cdr:x>
      <cdr:y>0.18959</cdr:y>
    </cdr:to>
    <cdr:sp macro="" textlink="">
      <cdr:nvSpPr>
        <cdr:cNvPr id="7" name="TextBox 1"/>
        <cdr:cNvSpPr txBox="1"/>
      </cdr:nvSpPr>
      <cdr:spPr>
        <a:xfrm xmlns:a="http://schemas.openxmlformats.org/drawingml/2006/main">
          <a:off x="0" y="642286"/>
          <a:ext cx="1594206" cy="252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latin typeface="Calibri"/>
              <a:ea typeface="+mn-ea"/>
              <a:cs typeface="+mn-cs"/>
            </a:rPr>
            <a:t>MWh </a:t>
          </a:r>
          <a:r>
            <a:rPr lang="en-US" sz="1100"/>
            <a:t>Invested Energy </a:t>
          </a:r>
        </a:p>
      </cdr:txBody>
    </cdr:sp>
  </cdr:relSizeAnchor>
  <cdr:relSizeAnchor xmlns:cdr="http://schemas.openxmlformats.org/drawingml/2006/chartDrawing">
    <cdr:from>
      <cdr:x>0.84387</cdr:x>
      <cdr:y>0.18605</cdr:y>
    </cdr:from>
    <cdr:to>
      <cdr:x>0.96785</cdr:x>
      <cdr:y>0.27316</cdr:y>
    </cdr:to>
    <cdr:sp macro="" textlink="">
      <cdr:nvSpPr>
        <cdr:cNvPr id="8" name="TextBox 7"/>
        <cdr:cNvSpPr txBox="1"/>
      </cdr:nvSpPr>
      <cdr:spPr>
        <a:xfrm xmlns:a="http://schemas.openxmlformats.org/drawingml/2006/main">
          <a:off x="4412529" y="876195"/>
          <a:ext cx="648283" cy="410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TEA3</a:t>
          </a:r>
        </a:p>
      </cdr:txBody>
    </cdr:sp>
  </cdr:relSizeAnchor>
  <cdr:relSizeAnchor xmlns:cdr="http://schemas.openxmlformats.org/drawingml/2006/chartDrawing">
    <cdr:from>
      <cdr:x>0</cdr:x>
      <cdr:y>0</cdr:y>
    </cdr:from>
    <cdr:to>
      <cdr:x>0.09134</cdr:x>
      <cdr:y>0.08948</cdr:y>
    </cdr:to>
    <cdr:sp macro="" textlink="">
      <cdr:nvSpPr>
        <cdr:cNvPr id="9" name="TextBox 1"/>
        <cdr:cNvSpPr txBox="1"/>
      </cdr:nvSpPr>
      <cdr:spPr>
        <a:xfrm xmlns:a="http://schemas.openxmlformats.org/drawingml/2006/main">
          <a:off x="0" y="0"/>
          <a:ext cx="478429" cy="422737"/>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2400"/>
            <a:t>4.</a:t>
          </a:r>
        </a:p>
      </cdr:txBody>
    </cdr:sp>
  </cdr:relSizeAnchor>
</c:userShapes>
</file>

<file path=xl/drawings/drawing5.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0.13675</cdr:x>
      <cdr:y>0.19025</cdr:y>
    </cdr:from>
    <cdr:to>
      <cdr:x>0.22609</cdr:x>
      <cdr:y>0.27738</cdr:y>
    </cdr:to>
    <cdr:sp macro="" textlink="">
      <cdr:nvSpPr>
        <cdr:cNvPr id="3" name="TextBox 2"/>
        <cdr:cNvSpPr txBox="1"/>
      </cdr:nvSpPr>
      <cdr:spPr>
        <a:xfrm xmlns:a="http://schemas.openxmlformats.org/drawingml/2006/main">
          <a:off x="731104" y="920111"/>
          <a:ext cx="477628" cy="4213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LCA</a:t>
          </a:r>
        </a:p>
      </cdr:txBody>
    </cdr:sp>
  </cdr:relSizeAnchor>
  <cdr:relSizeAnchor xmlns:cdr="http://schemas.openxmlformats.org/drawingml/2006/chartDrawing">
    <cdr:from>
      <cdr:x>0.58542</cdr:x>
      <cdr:y>0.59124</cdr:y>
    </cdr:from>
    <cdr:to>
      <cdr:x>0.69821</cdr:x>
      <cdr:y>0.6786</cdr:y>
    </cdr:to>
    <cdr:sp macro="" textlink="">
      <cdr:nvSpPr>
        <cdr:cNvPr id="4" name="TextBox 3"/>
        <cdr:cNvSpPr txBox="1"/>
      </cdr:nvSpPr>
      <cdr:spPr>
        <a:xfrm xmlns:a="http://schemas.openxmlformats.org/drawingml/2006/main">
          <a:off x="3134989" y="2860585"/>
          <a:ext cx="604332" cy="421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TEA1</a:t>
          </a:r>
        </a:p>
      </cdr:txBody>
    </cdr:sp>
  </cdr:relSizeAnchor>
  <cdr:relSizeAnchor xmlns:cdr="http://schemas.openxmlformats.org/drawingml/2006/chartDrawing">
    <cdr:from>
      <cdr:x>0.65936</cdr:x>
      <cdr:y>0.60526</cdr:y>
    </cdr:from>
    <cdr:to>
      <cdr:x>0.77216</cdr:x>
      <cdr:y>0.69214</cdr:y>
    </cdr:to>
    <cdr:sp macro="" textlink="">
      <cdr:nvSpPr>
        <cdr:cNvPr id="5" name="TextBox 4"/>
        <cdr:cNvSpPr txBox="1"/>
      </cdr:nvSpPr>
      <cdr:spPr>
        <a:xfrm xmlns:a="http://schemas.openxmlformats.org/drawingml/2006/main">
          <a:off x="3531637" y="2927272"/>
          <a:ext cx="604332" cy="421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TEA2</a:t>
          </a:r>
        </a:p>
      </cdr:txBody>
    </cdr:sp>
  </cdr:relSizeAnchor>
  <cdr:relSizeAnchor xmlns:cdr="http://schemas.openxmlformats.org/drawingml/2006/chartDrawing">
    <cdr:from>
      <cdr:x>0.8606</cdr:x>
      <cdr:y>0.63002</cdr:y>
    </cdr:from>
    <cdr:to>
      <cdr:x>0.96834</cdr:x>
      <cdr:y>0.71714</cdr:y>
    </cdr:to>
    <cdr:sp macro="" textlink="">
      <cdr:nvSpPr>
        <cdr:cNvPr id="6" name="TextBox 5"/>
        <cdr:cNvSpPr txBox="1"/>
      </cdr:nvSpPr>
      <cdr:spPr>
        <a:xfrm xmlns:a="http://schemas.openxmlformats.org/drawingml/2006/main">
          <a:off x="4608803" y="3047019"/>
          <a:ext cx="570730" cy="421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TEA3</a:t>
          </a:r>
        </a:p>
      </cdr:txBody>
    </cdr:sp>
  </cdr:relSizeAnchor>
  <cdr:relSizeAnchor xmlns:cdr="http://schemas.openxmlformats.org/drawingml/2006/chartDrawing">
    <cdr:from>
      <cdr:x>0.52824</cdr:x>
      <cdr:y>0.55515</cdr:y>
    </cdr:from>
    <cdr:to>
      <cdr:x>0.61733</cdr:x>
      <cdr:y>0.64228</cdr:y>
    </cdr:to>
    <cdr:sp macro="" textlink="">
      <cdr:nvSpPr>
        <cdr:cNvPr id="7" name="TextBox 6"/>
        <cdr:cNvSpPr txBox="1"/>
      </cdr:nvSpPr>
      <cdr:spPr>
        <a:xfrm xmlns:a="http://schemas.openxmlformats.org/drawingml/2006/main">
          <a:off x="2829316" y="2684919"/>
          <a:ext cx="477628" cy="421391"/>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r>
            <a:rPr lang="en-US" sz="1100"/>
            <a:t>LCA+</a:t>
          </a:r>
        </a:p>
      </cdr:txBody>
    </cdr:sp>
  </cdr:relSizeAnchor>
  <cdr:relSizeAnchor xmlns:cdr="http://schemas.openxmlformats.org/drawingml/2006/chartDrawing">
    <cdr:from>
      <cdr:x>0</cdr:x>
      <cdr:y>0</cdr:y>
    </cdr:from>
    <cdr:to>
      <cdr:x>0.08934</cdr:x>
      <cdr:y>0.08713</cdr:y>
    </cdr:to>
    <cdr:sp macro="" textlink="">
      <cdr:nvSpPr>
        <cdr:cNvPr id="8" name="TextBox 1"/>
        <cdr:cNvSpPr txBox="1"/>
      </cdr:nvSpPr>
      <cdr:spPr>
        <a:xfrm xmlns:a="http://schemas.openxmlformats.org/drawingml/2006/main">
          <a:off x="0" y="0"/>
          <a:ext cx="478429" cy="422737"/>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L</a:t>
          </a:r>
          <a:r>
            <a:rPr lang="en-US" sz="2400"/>
            <a:t>2.</a:t>
          </a:r>
        </a:p>
      </cdr:txBody>
    </cdr:sp>
  </cdr:relSizeAnchor>
  <cdr:relSizeAnchor xmlns:cdr="http://schemas.openxmlformats.org/drawingml/2006/chartDrawing">
    <cdr:from>
      <cdr:x>0.20492</cdr:x>
      <cdr:y>0.1717</cdr:y>
    </cdr:from>
    <cdr:to>
      <cdr:x>0.41613</cdr:x>
      <cdr:y>0.26901</cdr:y>
    </cdr:to>
    <cdr:sp macro="" textlink="">
      <cdr:nvSpPr>
        <cdr:cNvPr id="9" name="TextBox 1"/>
        <cdr:cNvSpPr txBox="1"/>
      </cdr:nvSpPr>
      <cdr:spPr>
        <a:xfrm xmlns:a="http://schemas.openxmlformats.org/drawingml/2006/main">
          <a:off x="1098177" y="829235"/>
          <a:ext cx="1131794" cy="470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Estimate Energy of Mfg.</a:t>
          </a:r>
        </a:p>
      </cdr:txBody>
    </cdr:sp>
  </cdr:relSizeAnchor>
  <cdr:relSizeAnchor xmlns:cdr="http://schemas.openxmlformats.org/drawingml/2006/chartDrawing">
    <cdr:from>
      <cdr:x>0.8097</cdr:x>
      <cdr:y>0.57694</cdr:y>
    </cdr:from>
    <cdr:to>
      <cdr:x>0.98305</cdr:x>
      <cdr:y>0.62096</cdr:y>
    </cdr:to>
    <cdr:sp macro="" textlink="">
      <cdr:nvSpPr>
        <cdr:cNvPr id="10" name="TextBox 2"/>
        <cdr:cNvSpPr txBox="1"/>
      </cdr:nvSpPr>
      <cdr:spPr>
        <a:xfrm xmlns:a="http://schemas.openxmlformats.org/drawingml/2006/main">
          <a:off x="4336680" y="2790265"/>
          <a:ext cx="918882" cy="2129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Point</a:t>
          </a:r>
          <a:r>
            <a:rPr lang="en-US" sz="1100" baseline="0"/>
            <a:t> of Sale</a:t>
          </a:r>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0.56637</cdr:x>
      <cdr:y>0.17378</cdr:y>
    </cdr:from>
    <cdr:to>
      <cdr:x>0.64318</cdr:x>
      <cdr:y>0.26969</cdr:y>
    </cdr:to>
    <cdr:sp macro="" textlink="">
      <cdr:nvSpPr>
        <cdr:cNvPr id="2" name="TextBox 1"/>
        <cdr:cNvSpPr txBox="1"/>
      </cdr:nvSpPr>
      <cdr:spPr>
        <a:xfrm xmlns:a="http://schemas.openxmlformats.org/drawingml/2006/main">
          <a:off x="2307586" y="643446"/>
          <a:ext cx="312952" cy="355127"/>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LCA</a:t>
          </a:r>
        </a:p>
      </cdr:txBody>
    </cdr:sp>
  </cdr:relSizeAnchor>
  <cdr:relSizeAnchor xmlns:cdr="http://schemas.openxmlformats.org/drawingml/2006/chartDrawing">
    <cdr:from>
      <cdr:x>0.64835</cdr:x>
      <cdr:y>0.06862</cdr:y>
    </cdr:from>
    <cdr:to>
      <cdr:x>0.99269</cdr:x>
      <cdr:y>0.13619</cdr:y>
    </cdr:to>
    <cdr:sp macro="" textlink="">
      <cdr:nvSpPr>
        <cdr:cNvPr id="3" name="TextBox 2"/>
        <cdr:cNvSpPr txBox="1"/>
      </cdr:nvSpPr>
      <cdr:spPr>
        <a:xfrm xmlns:a="http://schemas.openxmlformats.org/drawingml/2006/main">
          <a:off x="2645606" y="254091"/>
          <a:ext cx="1411941" cy="250173"/>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b="1"/>
            <a:t>total = 363KWh/KW</a:t>
          </a:r>
          <a:r>
            <a:rPr lang="en-US" sz="1100" b="1" baseline="0"/>
            <a:t>cap</a:t>
          </a:r>
          <a:endParaRPr lang="en-US" sz="1100" b="1"/>
        </a:p>
      </cdr:txBody>
    </cdr:sp>
  </cdr:relSizeAnchor>
  <cdr:relSizeAnchor xmlns:cdr="http://schemas.openxmlformats.org/drawingml/2006/chartDrawing">
    <cdr:from>
      <cdr:x>0.55429</cdr:x>
      <cdr:y>0.71434</cdr:y>
    </cdr:from>
    <cdr:to>
      <cdr:x>0.63922</cdr:x>
      <cdr:y>0.81025</cdr:y>
    </cdr:to>
    <cdr:sp macro="" textlink="">
      <cdr:nvSpPr>
        <cdr:cNvPr id="5" name="TextBox 4"/>
        <cdr:cNvSpPr txBox="1"/>
      </cdr:nvSpPr>
      <cdr:spPr>
        <a:xfrm xmlns:a="http://schemas.openxmlformats.org/drawingml/2006/main">
          <a:off x="2501260" y="3211648"/>
          <a:ext cx="386073" cy="43121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TEA1</a:t>
          </a:r>
        </a:p>
      </cdr:txBody>
    </cdr:sp>
  </cdr:relSizeAnchor>
  <cdr:relSizeAnchor xmlns:cdr="http://schemas.openxmlformats.org/drawingml/2006/chartDrawing">
    <cdr:from>
      <cdr:x>0.25859</cdr:x>
      <cdr:y>0.25388</cdr:y>
    </cdr:from>
    <cdr:to>
      <cdr:x>0.35181</cdr:x>
      <cdr:y>0.3498</cdr:y>
    </cdr:to>
    <cdr:sp macro="" textlink="">
      <cdr:nvSpPr>
        <cdr:cNvPr id="6" name="TextBox 5"/>
        <cdr:cNvSpPr txBox="1"/>
      </cdr:nvSpPr>
      <cdr:spPr>
        <a:xfrm xmlns:a="http://schemas.openxmlformats.org/drawingml/2006/main">
          <a:off x="1156511" y="1141456"/>
          <a:ext cx="424537" cy="43121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r>
            <a:rPr lang="en-US" sz="1400" b="1">
              <a:latin typeface="Calibri"/>
              <a:ea typeface="+mn-ea"/>
              <a:cs typeface="+mn-cs"/>
            </a:rPr>
            <a:t>TEA3</a:t>
          </a:r>
        </a:p>
      </cdr:txBody>
    </cdr:sp>
  </cdr:relSizeAnchor>
  <cdr:relSizeAnchor xmlns:cdr="http://schemas.openxmlformats.org/drawingml/2006/chartDrawing">
    <cdr:from>
      <cdr:x>0</cdr:x>
      <cdr:y>0</cdr:y>
    </cdr:from>
    <cdr:to>
      <cdr:x>0</cdr:x>
      <cdr:y>0</cdr:y>
    </cdr:to>
    <cdr:sp macro="" textlink="">
      <cdr:nvSpPr>
        <cdr:cNvPr id="7" name="TextBox 1"/>
        <cdr:cNvSpPr txBox="1"/>
      </cdr:nvSpPr>
      <cdr:spPr>
        <a:xfrm xmlns:a="http://schemas.openxmlformats.org/drawingml/2006/main">
          <a:off x="0" y="0"/>
          <a:ext cx="3721370" cy="569918"/>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800" b="1"/>
            <a:t>Incremental</a:t>
          </a:r>
          <a:r>
            <a:rPr lang="en-US" sz="1800" b="1" baseline="0"/>
            <a:t> </a:t>
          </a:r>
          <a:r>
            <a:rPr lang="en-US" sz="1800" b="1"/>
            <a:t>Business Unit</a:t>
          </a:r>
          <a:r>
            <a:rPr lang="en-US" sz="1800" b="1" baseline="0"/>
            <a:t> Energy Costs </a:t>
          </a:r>
          <a:endParaRPr lang="en-US" sz="1800" b="1"/>
        </a:p>
      </cdr:txBody>
    </cdr:sp>
  </cdr:relSizeAnchor>
  <cdr:relSizeAnchor xmlns:cdr="http://schemas.openxmlformats.org/drawingml/2006/chartDrawing">
    <cdr:from>
      <cdr:x>0.73484</cdr:x>
      <cdr:y>0.43853</cdr:y>
    </cdr:from>
    <cdr:to>
      <cdr:x>0.82798</cdr:x>
      <cdr:y>0.53444</cdr:y>
    </cdr:to>
    <cdr:sp macro="" textlink="">
      <cdr:nvSpPr>
        <cdr:cNvPr id="8" name="TextBox 7"/>
        <cdr:cNvSpPr txBox="1"/>
      </cdr:nvSpPr>
      <cdr:spPr>
        <a:xfrm xmlns:a="http://schemas.openxmlformats.org/drawingml/2006/main">
          <a:off x="3321550" y="1971602"/>
          <a:ext cx="423032" cy="43121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LCA+</a:t>
          </a:r>
        </a:p>
      </cdr:txBody>
    </cdr:sp>
  </cdr:relSizeAnchor>
  <cdr:relSizeAnchor xmlns:cdr="http://schemas.openxmlformats.org/drawingml/2006/chartDrawing">
    <cdr:from>
      <cdr:x>0.01571</cdr:x>
      <cdr:y>0.08172</cdr:y>
    </cdr:from>
    <cdr:to>
      <cdr:x>0.12914</cdr:x>
      <cdr:y>0.17574</cdr:y>
    </cdr:to>
    <cdr:sp macro="" textlink="">
      <cdr:nvSpPr>
        <cdr:cNvPr id="9" name="TextBox 1"/>
        <cdr:cNvSpPr txBox="1"/>
      </cdr:nvSpPr>
      <cdr:spPr>
        <a:xfrm xmlns:a="http://schemas.openxmlformats.org/drawingml/2006/main">
          <a:off x="68036" y="367392"/>
          <a:ext cx="478429" cy="422737"/>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2400"/>
            <a:t>5.</a:t>
          </a:r>
        </a:p>
      </cdr:txBody>
    </cdr:sp>
  </cdr:relSizeAnchor>
  <cdr:relSizeAnchor xmlns:cdr="http://schemas.openxmlformats.org/drawingml/2006/chartDrawing">
    <cdr:from>
      <cdr:x>0.24297</cdr:x>
      <cdr:y>0.64473</cdr:y>
    </cdr:from>
    <cdr:to>
      <cdr:x>0.3279</cdr:x>
      <cdr:y>0.74064</cdr:y>
    </cdr:to>
    <cdr:sp macro="" textlink="">
      <cdr:nvSpPr>
        <cdr:cNvPr id="10" name="TextBox 9"/>
        <cdr:cNvSpPr txBox="1"/>
      </cdr:nvSpPr>
      <cdr:spPr>
        <a:xfrm xmlns:a="http://schemas.openxmlformats.org/drawingml/2006/main">
          <a:off x="1086118" y="2898683"/>
          <a:ext cx="386073" cy="43121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TEA2</a:t>
          </a:r>
        </a:p>
      </cdr:txBody>
    </cdr:sp>
  </cdr:relSizeAnchor>
</c:userShapes>
</file>

<file path=xl/drawings/drawing7.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0.22332</cdr:x>
      <cdr:y>0.71157</cdr:y>
    </cdr:from>
    <cdr:to>
      <cdr:x>0.3473</cdr:x>
      <cdr:y>0.76503</cdr:y>
    </cdr:to>
    <cdr:sp macro="" textlink="">
      <cdr:nvSpPr>
        <cdr:cNvPr id="6" name="TextBox 5"/>
        <cdr:cNvSpPr txBox="1"/>
      </cdr:nvSpPr>
      <cdr:spPr>
        <a:xfrm xmlns:a="http://schemas.openxmlformats.org/drawingml/2006/main">
          <a:off x="1184905" y="3147333"/>
          <a:ext cx="657828" cy="2364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t>SEA 3.0</a:t>
          </a:r>
        </a:p>
      </cdr:txBody>
    </cdr:sp>
  </cdr:relSizeAnchor>
  <cdr:relSizeAnchor xmlns:cdr="http://schemas.openxmlformats.org/drawingml/2006/chartDrawing">
    <cdr:from>
      <cdr:x>0.77991</cdr:x>
      <cdr:y>0.19633</cdr:y>
    </cdr:from>
    <cdr:to>
      <cdr:x>0.87331</cdr:x>
      <cdr:y>0.26086</cdr:y>
    </cdr:to>
    <cdr:sp macro="" textlink="">
      <cdr:nvSpPr>
        <cdr:cNvPr id="12" name="TextBox 1"/>
        <cdr:cNvSpPr txBox="1"/>
      </cdr:nvSpPr>
      <cdr:spPr>
        <a:xfrm xmlns:a="http://schemas.openxmlformats.org/drawingml/2006/main">
          <a:off x="4138159" y="868365"/>
          <a:ext cx="495573" cy="285445"/>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000"/>
            <a:t>LCA</a:t>
          </a:r>
        </a:p>
      </cdr:txBody>
    </cdr:sp>
  </cdr:relSizeAnchor>
  <cdr:relSizeAnchor xmlns:cdr="http://schemas.openxmlformats.org/drawingml/2006/chartDrawing">
    <cdr:from>
      <cdr:x>0.24033</cdr:x>
      <cdr:y>0.5179</cdr:y>
    </cdr:from>
    <cdr:to>
      <cdr:x>0.39028</cdr:x>
      <cdr:y>0.60219</cdr:y>
    </cdr:to>
    <cdr:sp macro="" textlink="">
      <cdr:nvSpPr>
        <cdr:cNvPr id="14" name="TextBox 1"/>
        <cdr:cNvSpPr txBox="1"/>
      </cdr:nvSpPr>
      <cdr:spPr>
        <a:xfrm xmlns:a="http://schemas.openxmlformats.org/drawingml/2006/main">
          <a:off x="1275160" y="2290719"/>
          <a:ext cx="795616" cy="372822"/>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000"/>
            <a:t>SEA</a:t>
          </a:r>
          <a:r>
            <a:rPr lang="en-US" sz="1000" baseline="0"/>
            <a:t> 0, SEA 1, SEA 2</a:t>
          </a:r>
          <a:endParaRPr lang="en-US" sz="1000"/>
        </a:p>
      </cdr:txBody>
    </cdr:sp>
  </cdr:relSizeAnchor>
  <cdr:relSizeAnchor xmlns:cdr="http://schemas.openxmlformats.org/drawingml/2006/chartDrawing">
    <cdr:from>
      <cdr:x>0.11827</cdr:x>
      <cdr:y>0.64098</cdr:y>
    </cdr:from>
    <cdr:to>
      <cdr:x>0.24225</cdr:x>
      <cdr:y>0.69444</cdr:y>
    </cdr:to>
    <cdr:sp macro="" textlink="">
      <cdr:nvSpPr>
        <cdr:cNvPr id="11" name="TextBox 1"/>
        <cdr:cNvSpPr txBox="1"/>
      </cdr:nvSpPr>
      <cdr:spPr>
        <a:xfrm xmlns:a="http://schemas.openxmlformats.org/drawingml/2006/main">
          <a:off x="627522" y="2835095"/>
          <a:ext cx="657828" cy="236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t>PTC</a:t>
          </a:r>
        </a:p>
      </cdr:txBody>
    </cdr:sp>
  </cdr:relSizeAnchor>
  <cdr:relSizeAnchor xmlns:cdr="http://schemas.openxmlformats.org/drawingml/2006/chartDrawing">
    <cdr:from>
      <cdr:x>0.12461</cdr:x>
      <cdr:y>0.75245</cdr:y>
    </cdr:from>
    <cdr:to>
      <cdr:x>0.24859</cdr:x>
      <cdr:y>0.80591</cdr:y>
    </cdr:to>
    <cdr:sp macro="" textlink="">
      <cdr:nvSpPr>
        <cdr:cNvPr id="13" name="TextBox 1"/>
        <cdr:cNvSpPr txBox="1"/>
      </cdr:nvSpPr>
      <cdr:spPr>
        <a:xfrm xmlns:a="http://schemas.openxmlformats.org/drawingml/2006/main">
          <a:off x="661147" y="3328147"/>
          <a:ext cx="657828" cy="23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SEA 3.1</a:t>
          </a:r>
        </a:p>
      </cdr:txBody>
    </cdr:sp>
  </cdr:relSizeAnchor>
</c:userShapes>
</file>

<file path=xl/drawings/drawing8.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0.13046</cdr:x>
      <cdr:y>0.22097</cdr:y>
    </cdr:from>
    <cdr:to>
      <cdr:x>0.2198</cdr:x>
      <cdr:y>0.27767</cdr:y>
    </cdr:to>
    <cdr:sp macro="" textlink="">
      <cdr:nvSpPr>
        <cdr:cNvPr id="3" name="TextBox 2"/>
        <cdr:cNvSpPr txBox="1"/>
      </cdr:nvSpPr>
      <cdr:spPr>
        <a:xfrm xmlns:a="http://schemas.openxmlformats.org/drawingml/2006/main">
          <a:off x="697162" y="1047790"/>
          <a:ext cx="477435" cy="268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LCA </a:t>
          </a:r>
        </a:p>
      </cdr:txBody>
    </cdr:sp>
  </cdr:relSizeAnchor>
  <cdr:relSizeAnchor xmlns:cdr="http://schemas.openxmlformats.org/drawingml/2006/chartDrawing">
    <cdr:from>
      <cdr:x>0.54767</cdr:x>
      <cdr:y>0.64596</cdr:y>
    </cdr:from>
    <cdr:to>
      <cdr:x>0.66046</cdr:x>
      <cdr:y>0.69715</cdr:y>
    </cdr:to>
    <cdr:sp macro="" textlink="">
      <cdr:nvSpPr>
        <cdr:cNvPr id="4" name="TextBox 3"/>
        <cdr:cNvSpPr txBox="1"/>
      </cdr:nvSpPr>
      <cdr:spPr>
        <a:xfrm xmlns:a="http://schemas.openxmlformats.org/drawingml/2006/main">
          <a:off x="2926764" y="3063032"/>
          <a:ext cx="602753" cy="242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SEA 1</a:t>
          </a:r>
        </a:p>
      </cdr:txBody>
    </cdr:sp>
  </cdr:relSizeAnchor>
  <cdr:relSizeAnchor xmlns:cdr="http://schemas.openxmlformats.org/drawingml/2006/chartDrawing">
    <cdr:from>
      <cdr:x>0.58388</cdr:x>
      <cdr:y>0.71156</cdr:y>
    </cdr:from>
    <cdr:to>
      <cdr:x>0.67844</cdr:x>
      <cdr:y>0.77394</cdr:y>
    </cdr:to>
    <cdr:sp macro="" textlink="">
      <cdr:nvSpPr>
        <cdr:cNvPr id="5" name="TextBox 4"/>
        <cdr:cNvSpPr txBox="1"/>
      </cdr:nvSpPr>
      <cdr:spPr>
        <a:xfrm xmlns:a="http://schemas.openxmlformats.org/drawingml/2006/main">
          <a:off x="3120255" y="3374098"/>
          <a:ext cx="505332" cy="295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SEA 2</a:t>
          </a:r>
        </a:p>
      </cdr:txBody>
    </cdr:sp>
  </cdr:relSizeAnchor>
  <cdr:relSizeAnchor xmlns:cdr="http://schemas.openxmlformats.org/drawingml/2006/chartDrawing">
    <cdr:from>
      <cdr:x>0.71099</cdr:x>
      <cdr:y>0.66543</cdr:y>
    </cdr:from>
    <cdr:to>
      <cdr:x>0.83644</cdr:x>
      <cdr:y>0.72787</cdr:y>
    </cdr:to>
    <cdr:sp macro="" textlink="">
      <cdr:nvSpPr>
        <cdr:cNvPr id="6" name="TextBox 5"/>
        <cdr:cNvSpPr txBox="1"/>
      </cdr:nvSpPr>
      <cdr:spPr>
        <a:xfrm xmlns:a="http://schemas.openxmlformats.org/drawingml/2006/main">
          <a:off x="3799576" y="3155325"/>
          <a:ext cx="670408" cy="2960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SEA 3.0</a:t>
          </a:r>
        </a:p>
      </cdr:txBody>
    </cdr:sp>
  </cdr:relSizeAnchor>
  <cdr:relSizeAnchor xmlns:cdr="http://schemas.openxmlformats.org/drawingml/2006/chartDrawing">
    <cdr:from>
      <cdr:x>0.4842</cdr:x>
      <cdr:y>0.70404</cdr:y>
    </cdr:from>
    <cdr:to>
      <cdr:x>0.57329</cdr:x>
      <cdr:y>0.76095</cdr:y>
    </cdr:to>
    <cdr:sp macro="" textlink="">
      <cdr:nvSpPr>
        <cdr:cNvPr id="7" name="TextBox 6"/>
        <cdr:cNvSpPr txBox="1"/>
      </cdr:nvSpPr>
      <cdr:spPr>
        <a:xfrm xmlns:a="http://schemas.openxmlformats.org/drawingml/2006/main">
          <a:off x="2587605" y="3338419"/>
          <a:ext cx="476099" cy="269875"/>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pPr algn="ctr"/>
          <a:r>
            <a:rPr lang="en-US" sz="1100"/>
            <a:t>SEA</a:t>
          </a:r>
          <a:r>
            <a:rPr lang="en-US" sz="1100" baseline="0"/>
            <a:t> 0</a:t>
          </a:r>
          <a:endParaRPr lang="en-US" sz="1100"/>
        </a:p>
      </cdr:txBody>
    </cdr:sp>
  </cdr:relSizeAnchor>
  <cdr:relSizeAnchor xmlns:cdr="http://schemas.openxmlformats.org/drawingml/2006/chartDrawing">
    <cdr:from>
      <cdr:x>0.87922</cdr:x>
      <cdr:y>0.7125</cdr:y>
    </cdr:from>
    <cdr:to>
      <cdr:x>0.97619</cdr:x>
      <cdr:y>0.76213</cdr:y>
    </cdr:to>
    <cdr:sp macro="" textlink="">
      <cdr:nvSpPr>
        <cdr:cNvPr id="12" name="TextBox 11"/>
        <cdr:cNvSpPr txBox="1"/>
      </cdr:nvSpPr>
      <cdr:spPr>
        <a:xfrm xmlns:a="http://schemas.openxmlformats.org/drawingml/2006/main">
          <a:off x="4698570" y="3378540"/>
          <a:ext cx="518240" cy="2353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a:t>SEA 3.1</a:t>
          </a:r>
        </a:p>
      </cdr:txBody>
    </cdr:sp>
  </cdr:relSizeAnchor>
  <cdr:relSizeAnchor xmlns:cdr="http://schemas.openxmlformats.org/drawingml/2006/chartDrawing">
    <cdr:from>
      <cdr:x>0.73391</cdr:x>
      <cdr:y>0.76922</cdr:y>
    </cdr:from>
    <cdr:to>
      <cdr:x>0.84086</cdr:x>
      <cdr:y>0.83421</cdr:y>
    </cdr:to>
    <cdr:sp macro="" textlink="">
      <cdr:nvSpPr>
        <cdr:cNvPr id="13" name="TextBox 12"/>
        <cdr:cNvSpPr txBox="1"/>
      </cdr:nvSpPr>
      <cdr:spPr>
        <a:xfrm xmlns:a="http://schemas.openxmlformats.org/drawingml/2006/main">
          <a:off x="3922058" y="3647478"/>
          <a:ext cx="571500" cy="30819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lgn="ctr"/>
          <a:r>
            <a:rPr lang="en-US" sz="1100"/>
            <a:t>PTC</a:t>
          </a:r>
        </a:p>
      </cdr:txBody>
    </cdr:sp>
  </cdr:relSizeAnchor>
</c:userShapes>
</file>

<file path=xl/drawings/drawing9.xml><?xml version="1.0" encoding="utf-8"?>
<c:userShapes xmlns:c="http://schemas.openxmlformats.org/drawingml/2006/chart">
  <cdr:relSizeAnchor xmlns:cdr="http://schemas.openxmlformats.org/drawingml/2006/chartDrawing">
    <cdr:from>
      <cdr:x>0.25976</cdr:x>
      <cdr:y>0.21144</cdr:y>
    </cdr:from>
    <cdr:to>
      <cdr:x>0.36733</cdr:x>
      <cdr:y>0.29013</cdr:y>
    </cdr:to>
    <cdr:sp macro="" textlink="">
      <cdr:nvSpPr>
        <cdr:cNvPr id="2" name="TextBox 1"/>
        <cdr:cNvSpPr txBox="1"/>
      </cdr:nvSpPr>
      <cdr:spPr>
        <a:xfrm xmlns:a="http://schemas.openxmlformats.org/drawingml/2006/main">
          <a:off x="1180028" y="623144"/>
          <a:ext cx="488674" cy="231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0.13046</cdr:x>
      <cdr:y>0.22097</cdr:y>
    </cdr:from>
    <cdr:to>
      <cdr:x>0.2198</cdr:x>
      <cdr:y>0.27767</cdr:y>
    </cdr:to>
    <cdr:sp macro="" textlink="">
      <cdr:nvSpPr>
        <cdr:cNvPr id="3" name="TextBox 2"/>
        <cdr:cNvSpPr txBox="1"/>
      </cdr:nvSpPr>
      <cdr:spPr>
        <a:xfrm xmlns:a="http://schemas.openxmlformats.org/drawingml/2006/main">
          <a:off x="697162" y="1047790"/>
          <a:ext cx="477435" cy="268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LCA </a:t>
          </a:r>
        </a:p>
      </cdr:txBody>
    </cdr:sp>
  </cdr:relSizeAnchor>
  <cdr:relSizeAnchor xmlns:cdr="http://schemas.openxmlformats.org/drawingml/2006/chartDrawing">
    <cdr:from>
      <cdr:x>0.5634</cdr:x>
      <cdr:y>0.56919</cdr:y>
    </cdr:from>
    <cdr:to>
      <cdr:x>0.67619</cdr:x>
      <cdr:y>0.62038</cdr:y>
    </cdr:to>
    <cdr:sp macro="" textlink="">
      <cdr:nvSpPr>
        <cdr:cNvPr id="4" name="TextBox 3"/>
        <cdr:cNvSpPr txBox="1"/>
      </cdr:nvSpPr>
      <cdr:spPr>
        <a:xfrm xmlns:a="http://schemas.openxmlformats.org/drawingml/2006/main">
          <a:off x="2966363" y="2701913"/>
          <a:ext cx="593851" cy="242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SEA 1</a:t>
          </a:r>
        </a:p>
      </cdr:txBody>
    </cdr:sp>
  </cdr:relSizeAnchor>
  <cdr:relSizeAnchor xmlns:cdr="http://schemas.openxmlformats.org/drawingml/2006/chartDrawing">
    <cdr:from>
      <cdr:x>0.56343</cdr:x>
      <cdr:y>0.78135</cdr:y>
    </cdr:from>
    <cdr:to>
      <cdr:x>0.65799</cdr:x>
      <cdr:y>0.84373</cdr:y>
    </cdr:to>
    <cdr:sp macro="" textlink="">
      <cdr:nvSpPr>
        <cdr:cNvPr id="5" name="TextBox 4"/>
        <cdr:cNvSpPr txBox="1"/>
      </cdr:nvSpPr>
      <cdr:spPr>
        <a:xfrm xmlns:a="http://schemas.openxmlformats.org/drawingml/2006/main">
          <a:off x="2966513" y="3709053"/>
          <a:ext cx="497867" cy="296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SEA 2</a:t>
          </a:r>
        </a:p>
      </cdr:txBody>
    </cdr:sp>
  </cdr:relSizeAnchor>
  <cdr:relSizeAnchor xmlns:cdr="http://schemas.openxmlformats.org/drawingml/2006/chartDrawing">
    <cdr:from>
      <cdr:x>0.72829</cdr:x>
      <cdr:y>0.59215</cdr:y>
    </cdr:from>
    <cdr:to>
      <cdr:x>0.85374</cdr:x>
      <cdr:y>0.65459</cdr:y>
    </cdr:to>
    <cdr:sp macro="" textlink="">
      <cdr:nvSpPr>
        <cdr:cNvPr id="6" name="TextBox 5"/>
        <cdr:cNvSpPr txBox="1"/>
      </cdr:nvSpPr>
      <cdr:spPr>
        <a:xfrm xmlns:a="http://schemas.openxmlformats.org/drawingml/2006/main">
          <a:off x="3834542" y="2810902"/>
          <a:ext cx="660507" cy="29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SEA 3.0</a:t>
          </a:r>
        </a:p>
      </cdr:txBody>
    </cdr:sp>
  </cdr:relSizeAnchor>
  <cdr:relSizeAnchor xmlns:cdr="http://schemas.openxmlformats.org/drawingml/2006/chartDrawing">
    <cdr:from>
      <cdr:x>0.39925</cdr:x>
      <cdr:y>0.78256</cdr:y>
    </cdr:from>
    <cdr:to>
      <cdr:x>0.48834</cdr:x>
      <cdr:y>0.83947</cdr:y>
    </cdr:to>
    <cdr:sp macro="" textlink="">
      <cdr:nvSpPr>
        <cdr:cNvPr id="7" name="TextBox 6"/>
        <cdr:cNvSpPr txBox="1"/>
      </cdr:nvSpPr>
      <cdr:spPr>
        <a:xfrm xmlns:a="http://schemas.openxmlformats.org/drawingml/2006/main">
          <a:off x="2102100" y="3714768"/>
          <a:ext cx="469068" cy="270150"/>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pPr algn="ctr"/>
          <a:r>
            <a:rPr lang="en-US" sz="1100"/>
            <a:t>SEA</a:t>
          </a:r>
          <a:r>
            <a:rPr lang="en-US" sz="1100" baseline="0"/>
            <a:t> 0</a:t>
          </a:r>
          <a:endParaRPr lang="en-US" sz="1100"/>
        </a:p>
      </cdr:txBody>
    </cdr:sp>
  </cdr:relSizeAnchor>
  <cdr:relSizeAnchor xmlns:cdr="http://schemas.openxmlformats.org/drawingml/2006/chartDrawing">
    <cdr:from>
      <cdr:x>0.87674</cdr:x>
      <cdr:y>0.66817</cdr:y>
    </cdr:from>
    <cdr:to>
      <cdr:x>0.97371</cdr:x>
      <cdr:y>0.7178</cdr:y>
    </cdr:to>
    <cdr:sp macro="" textlink="">
      <cdr:nvSpPr>
        <cdr:cNvPr id="12" name="TextBox 11"/>
        <cdr:cNvSpPr txBox="1"/>
      </cdr:nvSpPr>
      <cdr:spPr>
        <a:xfrm xmlns:a="http://schemas.openxmlformats.org/drawingml/2006/main">
          <a:off x="4638895" y="3168137"/>
          <a:ext cx="513077" cy="2353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a:t>SEA 3.1</a:t>
          </a:r>
        </a:p>
      </cdr:txBody>
    </cdr:sp>
  </cdr:relSizeAnchor>
  <cdr:relSizeAnchor xmlns:cdr="http://schemas.openxmlformats.org/drawingml/2006/chartDrawing">
    <cdr:from>
      <cdr:x>0.7128</cdr:x>
      <cdr:y>0.79139</cdr:y>
    </cdr:from>
    <cdr:to>
      <cdr:x>0.81975</cdr:x>
      <cdr:y>0.85638</cdr:y>
    </cdr:to>
    <cdr:sp macro="" textlink="">
      <cdr:nvSpPr>
        <cdr:cNvPr id="13" name="TextBox 12"/>
        <cdr:cNvSpPr txBox="1"/>
      </cdr:nvSpPr>
      <cdr:spPr>
        <a:xfrm xmlns:a="http://schemas.openxmlformats.org/drawingml/2006/main">
          <a:off x="3771513" y="3752387"/>
          <a:ext cx="565882" cy="308153"/>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algn="ctr"/>
          <a:r>
            <a:rPr lang="en-US" sz="1100"/>
            <a:t>PTC</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h%20text/LCAWind%20&amp;%20TEA%20for%20EROI%20&amp;%20IRR-ph%201211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CAWind%20&amp;%20TEA%20for%20EROI%20&amp;%20IRR%20121109%20PH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EDI-01D_Wind_Model_rel._W1.09.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CAWind-IRR_CalculationsAndGraphs%20JZ%20Adds%206Dec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seCaseCashFlowsJZ%2023Dec09%20CW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ncialCalcs"/>
      <sheetName val="EconomicValueEnergy"/>
      <sheetName val="JEDI Project data_TX"/>
      <sheetName val="Project LCA &amp; TEA"/>
      <sheetName val="JEDI Project data"/>
      <sheetName val="EROI vs. IRR VestOffshore3MW"/>
      <sheetName val="EROI vs. IRR VestOnshore3MW"/>
      <sheetName val="Vestas Onshore 3.0MW"/>
    </sheetNames>
    <sheetDataSet>
      <sheetData sheetId="0"/>
      <sheetData sheetId="1"/>
      <sheetData sheetId="2"/>
      <sheetData sheetId="3"/>
      <sheetData sheetId="4">
        <row r="16">
          <cell r="B16">
            <v>100</v>
          </cell>
        </row>
      </sheetData>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Calcs"/>
      <sheetName val="EconomicValueEnergy"/>
      <sheetName val="JEDI Project data_TX_CK"/>
      <sheetName val="Project LCA &amp; TEA"/>
      <sheetName val="JEDI Project data"/>
      <sheetName val="LCA Vestas Onshore 2.0MW"/>
      <sheetName val="EROI vs IRR VestOnshore2MW"/>
    </sheetNames>
    <sheetDataSet>
      <sheetData sheetId="0"/>
      <sheetData sheetId="1">
        <row r="4">
          <cell r="A4" t="str">
            <v>Energy Consumption Related to Developing Facility</v>
          </cell>
          <cell r="B4" t="str">
            <v>Units</v>
          </cell>
          <cell r="C4" t="str">
            <v>Total Vestas LCA Values</v>
          </cell>
          <cell r="D4" t="str">
            <v>Fossil or Renewable</v>
          </cell>
          <cell r="E4" t="str">
            <v>Toal Consumption in MJ per Turbine</v>
          </cell>
          <cell r="F4" t="str">
            <v>Total Consumption in Million Btu per Turbine</v>
          </cell>
          <cell r="G4" t="str">
            <v>Total Consumption in kWh per Turbine</v>
          </cell>
          <cell r="H4" t="str">
            <v>Market Price in $/MillionBtu (1)</v>
          </cell>
          <cell r="I4" t="str">
            <v>Market Value of Energy Input per Turbine</v>
          </cell>
        </row>
        <row r="5">
          <cell r="A5" t="str">
            <v>Hard coal</v>
          </cell>
          <cell r="B5" t="str">
            <v>MJ/kWh</v>
          </cell>
          <cell r="C5">
            <v>1.966E-2</v>
          </cell>
          <cell r="D5" t="str">
            <v>Fossil</v>
          </cell>
          <cell r="E5">
            <v>2215288.7999999998</v>
          </cell>
          <cell r="F5">
            <v>2099.7998104265403</v>
          </cell>
          <cell r="G5">
            <v>615358.04922864004</v>
          </cell>
          <cell r="H5">
            <v>2.4700000000000002</v>
          </cell>
          <cell r="I5">
            <v>5186.5055317535553</v>
          </cell>
        </row>
        <row r="6">
          <cell r="A6" t="str">
            <v>Crude oil</v>
          </cell>
          <cell r="B6" t="str">
            <v>MJ/kWh</v>
          </cell>
          <cell r="C6">
            <v>5.3570000000000007E-2</v>
          </cell>
          <cell r="D6" t="str">
            <v>Fossil</v>
          </cell>
          <cell r="E6">
            <v>6036267.6000000015</v>
          </cell>
          <cell r="F6">
            <v>5721.5806635071103</v>
          </cell>
          <cell r="G6">
            <v>1676741.1341392805</v>
          </cell>
          <cell r="H6">
            <v>12.9</v>
          </cell>
          <cell r="I6">
            <v>73808.390559241729</v>
          </cell>
        </row>
        <row r="7">
          <cell r="A7" t="str">
            <v>Lignite (brown coal)</v>
          </cell>
          <cell r="B7" t="str">
            <v>MJ/kWh</v>
          </cell>
          <cell r="C7">
            <v>3.9500000228000001E-3</v>
          </cell>
          <cell r="D7" t="str">
            <v>Fossil</v>
          </cell>
          <cell r="E7">
            <v>445086.00256910402</v>
          </cell>
          <cell r="F7">
            <v>421.88246689014596</v>
          </cell>
          <cell r="G7">
            <v>123635.01060444007</v>
          </cell>
          <cell r="H7">
            <v>2</v>
          </cell>
          <cell r="I7">
            <v>843.76493378029193</v>
          </cell>
        </row>
        <row r="8">
          <cell r="A8" t="str">
            <v>Natural Gas</v>
          </cell>
          <cell r="B8" t="str">
            <v>MJ/kWh</v>
          </cell>
          <cell r="C8">
            <v>1.436E-2</v>
          </cell>
          <cell r="D8" t="str">
            <v>Fossil</v>
          </cell>
          <cell r="E8">
            <v>1618084.7999999998</v>
          </cell>
          <cell r="F8">
            <v>1533.7296682464453</v>
          </cell>
          <cell r="G8">
            <v>449468.03595743998</v>
          </cell>
          <cell r="H8">
            <v>6.55</v>
          </cell>
          <cell r="I8">
            <v>10045.929327014217</v>
          </cell>
        </row>
        <row r="9">
          <cell r="A9" t="str">
            <v>Nuclear Power</v>
          </cell>
          <cell r="B9" t="str">
            <v>MJ/kWh</v>
          </cell>
          <cell r="C9">
            <v>3.4800372000000001E-3</v>
          </cell>
          <cell r="D9" t="str">
            <v>Fossil</v>
          </cell>
          <cell r="E9">
            <v>392130.59169600008</v>
          </cell>
          <cell r="F9">
            <v>371.68776464075836</v>
          </cell>
          <cell r="G9">
            <v>108925.17307401318</v>
          </cell>
          <cell r="H9">
            <v>22.84</v>
          </cell>
          <cell r="I9">
            <v>8489.3485443949212</v>
          </cell>
        </row>
        <row r="10">
          <cell r="A10" t="str">
            <v>Straw</v>
          </cell>
          <cell r="B10" t="str">
            <v>MJ/kWh</v>
          </cell>
          <cell r="C10">
            <v>6.9999999999999996E-10</v>
          </cell>
          <cell r="D10" t="str">
            <v>Renewable</v>
          </cell>
          <cell r="E10">
            <v>7.8876000000000002E-2</v>
          </cell>
          <cell r="F10">
            <v>7.476398104265403E-5</v>
          </cell>
          <cell r="G10">
            <v>2.1910001752800001E-2</v>
          </cell>
          <cell r="H10">
            <v>1</v>
          </cell>
          <cell r="I10">
            <v>7.476398104265403E-5</v>
          </cell>
        </row>
        <row r="11">
          <cell r="A11" t="str">
            <v>Wood</v>
          </cell>
          <cell r="B11" t="str">
            <v>MJ/kWh</v>
          </cell>
          <cell r="C11">
            <v>5.8100000000000006E-10</v>
          </cell>
          <cell r="D11" t="str">
            <v>Renewable</v>
          </cell>
          <cell r="E11">
            <v>6.5467080000000011E-2</v>
          </cell>
          <cell r="F11">
            <v>6.2054104265402856E-5</v>
          </cell>
          <cell r="G11">
            <v>1.8185301454824006E-2</v>
          </cell>
          <cell r="H11">
            <v>1</v>
          </cell>
          <cell r="I11">
            <v>6.2054104265402856E-5</v>
          </cell>
        </row>
        <row r="12">
          <cell r="A12" t="str">
            <v>Other Biomass</v>
          </cell>
          <cell r="B12" t="str">
            <v>MJ/kWh</v>
          </cell>
          <cell r="C12">
            <v>5.1400004030000002E-4</v>
          </cell>
          <cell r="D12" t="str">
            <v>Renewable</v>
          </cell>
          <cell r="E12">
            <v>57917.524541004008</v>
          </cell>
          <cell r="F12">
            <v>54.898127527018019</v>
          </cell>
          <cell r="G12">
            <v>16088.202548446105</v>
          </cell>
          <cell r="H12">
            <v>1</v>
          </cell>
          <cell r="I12">
            <v>54.898127527018019</v>
          </cell>
        </row>
        <row r="13">
          <cell r="A13" t="str">
            <v>Primary energy from Hydropower</v>
          </cell>
          <cell r="B13" t="str">
            <v>MJ/kWh</v>
          </cell>
          <cell r="C13">
            <v>2.0290000000000002E-2</v>
          </cell>
          <cell r="D13" t="str">
            <v>Renewable</v>
          </cell>
          <cell r="E13">
            <v>2286277.2000000002</v>
          </cell>
          <cell r="F13">
            <v>2167.0873933649291</v>
          </cell>
          <cell r="G13">
            <v>635077.05080616008</v>
          </cell>
          <cell r="H13">
            <v>22.84</v>
          </cell>
          <cell r="I13">
            <v>49496.276064454978</v>
          </cell>
        </row>
        <row r="14">
          <cell r="A14" t="str">
            <v>Primary energy from wind</v>
          </cell>
          <cell r="B14" t="str">
            <v>MJ/kWh</v>
          </cell>
          <cell r="C14">
            <v>3.3E-4</v>
          </cell>
          <cell r="D14" t="str">
            <v>Renewable</v>
          </cell>
          <cell r="E14">
            <v>37184.400000000001</v>
          </cell>
          <cell r="F14">
            <v>35.245876777251183</v>
          </cell>
          <cell r="G14">
            <v>10329.000826320002</v>
          </cell>
          <cell r="H14">
            <v>1</v>
          </cell>
          <cell r="I14">
            <v>35.245876777251183</v>
          </cell>
        </row>
        <row r="15">
          <cell r="A15" t="str">
            <v>Renewable Fuels</v>
          </cell>
          <cell r="B15" t="str">
            <v>MJ/kWh</v>
          </cell>
          <cell r="C15">
            <v>0</v>
          </cell>
          <cell r="D15" t="str">
            <v>Renewable</v>
          </cell>
          <cell r="E15">
            <v>0</v>
          </cell>
          <cell r="F15">
            <v>0</v>
          </cell>
          <cell r="G15">
            <v>0</v>
          </cell>
          <cell r="H15">
            <v>1</v>
          </cell>
          <cell r="I15">
            <v>0</v>
          </cell>
        </row>
        <row r="16">
          <cell r="D16" t="str">
            <v>Totals:</v>
          </cell>
          <cell r="E16">
            <v>13088237.06314919</v>
          </cell>
          <cell r="F16">
            <v>12405.911908198283</v>
          </cell>
          <cell r="G16">
            <v>3635621.6972800433</v>
          </cell>
          <cell r="H16"/>
          <cell r="I16">
            <v>147960.35910176206</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out JEDI"/>
      <sheetName val="Start"/>
      <sheetName val="ProjectData"/>
      <sheetName val="SummaryResults"/>
      <sheetName val="User Add-in Location"/>
      <sheetName val="FAQ"/>
      <sheetName val="DefaultData"/>
      <sheetName val="Deflators"/>
      <sheetName val="Household Exp"/>
      <sheetName val="Calculations"/>
      <sheetName val="Multipliers"/>
    </sheetNames>
    <sheetDataSet>
      <sheetData sheetId="0" refreshError="1"/>
      <sheetData sheetId="1" refreshError="1"/>
      <sheetData sheetId="2" refreshError="1"/>
      <sheetData sheetId="3" refreshError="1"/>
      <sheetData sheetId="4">
        <row r="23">
          <cell r="E23">
            <v>0</v>
          </cell>
          <cell r="F23">
            <v>0</v>
          </cell>
        </row>
      </sheetData>
      <sheetData sheetId="5" refreshError="1"/>
      <sheetData sheetId="6">
        <row r="53">
          <cell r="AS53">
            <v>20</v>
          </cell>
        </row>
        <row r="111">
          <cell r="D111">
            <v>81</v>
          </cell>
          <cell r="N111">
            <v>81</v>
          </cell>
        </row>
      </sheetData>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ROI vs. IRR"/>
      <sheetName val="Vestas Offshore 3.0MW"/>
      <sheetName val="FinancialCalcs"/>
      <sheetName val="EconomicValueEnergy"/>
    </sheetNames>
    <sheetDataSet>
      <sheetData sheetId="0"/>
      <sheetData sheetId="1">
        <row r="3">
          <cell r="O3" t="str">
            <v>Year</v>
          </cell>
        </row>
      </sheetData>
      <sheetData sheetId="2">
        <row r="3">
          <cell r="A3" t="str">
            <v>Year</v>
          </cell>
          <cell r="B3" t="str">
            <v>Electricity Output in kWh</v>
          </cell>
          <cell r="C3" t="str">
            <v>Market Price in $/kWh</v>
          </cell>
          <cell r="D3" t="str">
            <v>Mkt Value of Output</v>
          </cell>
          <cell r="H3" t="str">
            <v>Ovearall Cash Flow, including Investment Cost</v>
          </cell>
        </row>
        <row r="31">
          <cell r="A31" t="str">
            <v>Results</v>
          </cell>
        </row>
        <row r="32">
          <cell r="A32" t="str">
            <v>Financial IRR:</v>
          </cell>
        </row>
        <row r="33">
          <cell r="A33" t="str">
            <v>Net Present Value of future cash flows (after year 1):</v>
          </cell>
        </row>
        <row r="34">
          <cell r="A34" t="str">
            <v>ROI (with no discounting of future rev. and cost):</v>
          </cell>
        </row>
        <row r="35">
          <cell r="A35" t="str">
            <v>ROI (with discounting of future rev. and costs):</v>
          </cell>
        </row>
      </sheetData>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B11">
            <v>2008</v>
          </cell>
          <cell r="C11">
            <v>2009</v>
          </cell>
          <cell r="D11">
            <v>2010</v>
          </cell>
          <cell r="E11">
            <v>2011</v>
          </cell>
          <cell r="F11">
            <v>2012</v>
          </cell>
          <cell r="G11">
            <v>2013</v>
          </cell>
          <cell r="H11">
            <v>2014</v>
          </cell>
          <cell r="I11">
            <v>2015</v>
          </cell>
          <cell r="J11">
            <v>2016</v>
          </cell>
          <cell r="K11">
            <v>2017</v>
          </cell>
          <cell r="L11">
            <v>2018</v>
          </cell>
          <cell r="M11">
            <v>2019</v>
          </cell>
          <cell r="N11">
            <v>2020</v>
          </cell>
          <cell r="O11">
            <v>2021</v>
          </cell>
          <cell r="P11">
            <v>2022</v>
          </cell>
          <cell r="Q11">
            <v>2023</v>
          </cell>
          <cell r="R11">
            <v>2024</v>
          </cell>
          <cell r="S11">
            <v>2025</v>
          </cell>
          <cell r="T11">
            <v>2026</v>
          </cell>
          <cell r="U11">
            <v>2027</v>
          </cell>
        </row>
        <row r="79">
          <cell r="A79" t="str">
            <v>LCA+</v>
          </cell>
          <cell r="B79">
            <v>962</v>
          </cell>
          <cell r="C79">
            <v>1483</v>
          </cell>
          <cell r="D79">
            <v>902</v>
          </cell>
          <cell r="E79">
            <v>553</v>
          </cell>
          <cell r="F79">
            <v>553</v>
          </cell>
          <cell r="G79">
            <v>286</v>
          </cell>
          <cell r="H79">
            <v>24</v>
          </cell>
          <cell r="I79">
            <v>24</v>
          </cell>
          <cell r="J79">
            <v>24</v>
          </cell>
          <cell r="K79">
            <v>24</v>
          </cell>
          <cell r="L79">
            <v>24</v>
          </cell>
          <cell r="M79">
            <v>0</v>
          </cell>
          <cell r="N79">
            <v>0</v>
          </cell>
          <cell r="O79">
            <v>0</v>
          </cell>
          <cell r="P79">
            <v>0</v>
          </cell>
          <cell r="Q79">
            <v>0</v>
          </cell>
          <cell r="R79">
            <v>0</v>
          </cell>
          <cell r="S79">
            <v>0</v>
          </cell>
          <cell r="T79">
            <v>0</v>
          </cell>
          <cell r="U79">
            <v>0</v>
          </cell>
        </row>
        <row r="80">
          <cell r="A80" t="str">
            <v>TEA1</v>
          </cell>
          <cell r="B80">
            <v>998.89202825428856</v>
          </cell>
          <cell r="C80">
            <v>1520.8143289606458</v>
          </cell>
          <cell r="D80">
            <v>940.73662966700306</v>
          </cell>
          <cell r="E80">
            <v>592.65893037336025</v>
          </cell>
          <cell r="F80">
            <v>594.50353178607463</v>
          </cell>
          <cell r="G80">
            <v>328.42583249243188</v>
          </cell>
          <cell r="H80">
            <v>67.3481331987891</v>
          </cell>
          <cell r="I80">
            <v>69.192734611503539</v>
          </cell>
          <cell r="J80">
            <v>70.115035317860745</v>
          </cell>
          <cell r="K80">
            <v>71.95963673057517</v>
          </cell>
          <cell r="L80">
            <v>72.88193743693239</v>
          </cell>
          <cell r="M80">
            <v>50.726538849646822</v>
          </cell>
          <cell r="N80">
            <v>52.571140262361254</v>
          </cell>
          <cell r="O80">
            <v>53.493440968718467</v>
          </cell>
          <cell r="P80">
            <v>55.338042381432899</v>
          </cell>
          <cell r="Q80">
            <v>57.182643794147324</v>
          </cell>
          <cell r="R80">
            <v>59.027245206861757</v>
          </cell>
          <cell r="S80">
            <v>60.871846619576189</v>
          </cell>
          <cell r="T80">
            <v>61.794147325933402</v>
          </cell>
          <cell r="U80">
            <v>64.56104944500504</v>
          </cell>
        </row>
        <row r="81">
          <cell r="A81" t="str">
            <v>TEA2</v>
          </cell>
          <cell r="B81">
            <v>1002</v>
          </cell>
          <cell r="C81">
            <v>1524</v>
          </cell>
          <cell r="D81">
            <v>944</v>
          </cell>
          <cell r="E81">
            <v>596</v>
          </cell>
          <cell r="F81">
            <v>598</v>
          </cell>
          <cell r="G81">
            <v>332</v>
          </cell>
          <cell r="H81">
            <v>71</v>
          </cell>
          <cell r="I81">
            <v>73</v>
          </cell>
          <cell r="J81">
            <v>74</v>
          </cell>
          <cell r="K81">
            <v>76</v>
          </cell>
          <cell r="L81">
            <v>77</v>
          </cell>
          <cell r="M81">
            <v>55</v>
          </cell>
          <cell r="N81">
            <v>57</v>
          </cell>
          <cell r="O81">
            <v>58</v>
          </cell>
          <cell r="P81">
            <v>60</v>
          </cell>
          <cell r="Q81">
            <v>62</v>
          </cell>
          <cell r="R81">
            <v>64</v>
          </cell>
          <cell r="S81">
            <v>66</v>
          </cell>
          <cell r="T81">
            <v>67</v>
          </cell>
          <cell r="U81">
            <v>70</v>
          </cell>
        </row>
        <row r="82">
          <cell r="A82" t="str">
            <v>TEA3</v>
          </cell>
          <cell r="B82">
            <v>1046</v>
          </cell>
          <cell r="C82">
            <v>1568</v>
          </cell>
          <cell r="D82">
            <v>988</v>
          </cell>
          <cell r="E82">
            <v>640</v>
          </cell>
          <cell r="F82">
            <v>642</v>
          </cell>
          <cell r="G82">
            <v>377</v>
          </cell>
          <cell r="H82">
            <v>117</v>
          </cell>
          <cell r="I82">
            <v>119</v>
          </cell>
          <cell r="J82">
            <v>120</v>
          </cell>
          <cell r="K82">
            <v>122</v>
          </cell>
          <cell r="L82">
            <v>124</v>
          </cell>
          <cell r="M82">
            <v>102</v>
          </cell>
          <cell r="N82">
            <v>105</v>
          </cell>
          <cell r="O82">
            <v>107</v>
          </cell>
          <cell r="P82">
            <v>109</v>
          </cell>
          <cell r="Q82">
            <v>111</v>
          </cell>
          <cell r="R82">
            <v>113</v>
          </cell>
          <cell r="S82">
            <v>116</v>
          </cell>
          <cell r="T82">
            <v>118</v>
          </cell>
          <cell r="U82">
            <v>121</v>
          </cell>
        </row>
        <row r="83">
          <cell r="A83" t="str">
            <v>TEA4</v>
          </cell>
          <cell r="B83">
            <v>1336</v>
          </cell>
          <cell r="C83">
            <v>1836</v>
          </cell>
          <cell r="D83">
            <v>1234</v>
          </cell>
          <cell r="E83">
            <v>862</v>
          </cell>
          <cell r="F83">
            <v>838</v>
          </cell>
          <cell r="G83">
            <v>545</v>
          </cell>
          <cell r="H83">
            <v>256</v>
          </cell>
          <cell r="I83">
            <v>227</v>
          </cell>
          <cell r="J83">
            <v>194</v>
          </cell>
          <cell r="K83">
            <v>160</v>
          </cell>
          <cell r="L83">
            <v>124</v>
          </cell>
          <cell r="M83">
            <v>102</v>
          </cell>
          <cell r="N83">
            <v>105</v>
          </cell>
          <cell r="O83">
            <v>107</v>
          </cell>
          <cell r="P83">
            <v>109</v>
          </cell>
          <cell r="Q83">
            <v>111</v>
          </cell>
          <cell r="R83">
            <v>113</v>
          </cell>
          <cell r="S83">
            <v>116</v>
          </cell>
          <cell r="T83">
            <v>118</v>
          </cell>
          <cell r="U83">
            <v>121</v>
          </cell>
        </row>
        <row r="84">
          <cell r="A84" t="str">
            <v>TEA5</v>
          </cell>
          <cell r="B84">
            <v>1458</v>
          </cell>
          <cell r="C84">
            <v>1962</v>
          </cell>
          <cell r="D84">
            <v>1363</v>
          </cell>
          <cell r="E84">
            <v>995</v>
          </cell>
          <cell r="F84">
            <v>975</v>
          </cell>
          <cell r="G84">
            <v>686</v>
          </cell>
          <cell r="H84">
            <v>402</v>
          </cell>
          <cell r="I84">
            <v>377</v>
          </cell>
          <cell r="J84">
            <v>348</v>
          </cell>
          <cell r="K84">
            <v>319</v>
          </cell>
          <cell r="L84">
            <v>124</v>
          </cell>
          <cell r="M84">
            <v>102</v>
          </cell>
          <cell r="N84">
            <v>105</v>
          </cell>
          <cell r="O84">
            <v>107</v>
          </cell>
          <cell r="P84">
            <v>109</v>
          </cell>
          <cell r="Q84">
            <v>111</v>
          </cell>
          <cell r="R84">
            <v>113</v>
          </cell>
          <cell r="S84">
            <v>116</v>
          </cell>
          <cell r="T84">
            <v>118</v>
          </cell>
          <cell r="U84">
            <v>121</v>
          </cell>
        </row>
        <row r="85">
          <cell r="A85" t="str">
            <v>Total After Tax Cash Flow</v>
          </cell>
          <cell r="B85">
            <v>-154</v>
          </cell>
          <cell r="C85">
            <v>-181</v>
          </cell>
          <cell r="D85">
            <v>-178</v>
          </cell>
          <cell r="E85">
            <v>-174</v>
          </cell>
          <cell r="F85">
            <v>-171</v>
          </cell>
          <cell r="G85">
            <v>-167</v>
          </cell>
          <cell r="H85">
            <v>-164</v>
          </cell>
          <cell r="I85">
            <v>-161</v>
          </cell>
          <cell r="J85">
            <v>-157</v>
          </cell>
          <cell r="K85">
            <v>-154</v>
          </cell>
          <cell r="L85">
            <v>901</v>
          </cell>
          <cell r="M85">
            <v>454</v>
          </cell>
          <cell r="N85">
            <v>457</v>
          </cell>
          <cell r="O85">
            <v>461</v>
          </cell>
          <cell r="P85">
            <v>464</v>
          </cell>
          <cell r="Q85">
            <v>467</v>
          </cell>
          <cell r="R85">
            <v>471</v>
          </cell>
          <cell r="S85">
            <v>474</v>
          </cell>
          <cell r="T85">
            <v>478</v>
          </cell>
          <cell r="U85">
            <v>472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A2:AO126"/>
  <sheetViews>
    <sheetView tabSelected="1" view="pageBreakPreview" topLeftCell="A3" zoomScale="85" zoomScaleNormal="25" zoomScaleSheetLayoutView="85" workbookViewId="0">
      <selection activeCell="D24" sqref="D24"/>
    </sheetView>
  </sheetViews>
  <sheetFormatPr defaultRowHeight="15"/>
  <cols>
    <col min="1" max="1" width="10.7109375" customWidth="1"/>
    <col min="2" max="2" width="48.7109375" customWidth="1"/>
    <col min="3" max="3" width="10.42578125" style="11" customWidth="1"/>
    <col min="4" max="4" width="12.7109375" style="11" customWidth="1"/>
    <col min="5" max="5" width="12" customWidth="1"/>
    <col min="6" max="6" width="11.42578125" customWidth="1"/>
    <col min="7" max="7" width="11.85546875" customWidth="1"/>
    <col min="8" max="9" width="14.7109375" customWidth="1"/>
    <col min="10" max="11" width="14.7109375" style="6" customWidth="1"/>
    <col min="12" max="13" width="14.7109375" customWidth="1"/>
    <col min="14" max="15" width="11.85546875" customWidth="1"/>
    <col min="16" max="17" width="12.7109375" customWidth="1"/>
    <col min="18" max="21" width="10.7109375" customWidth="1"/>
    <col min="22" max="24" width="10.7109375" style="6" customWidth="1"/>
    <col min="25" max="31" width="10.7109375" customWidth="1"/>
  </cols>
  <sheetData>
    <row r="2" spans="2:41" ht="47.25" customHeight="1">
      <c r="B2" s="349" t="s">
        <v>335</v>
      </c>
      <c r="C2" s="478" t="s">
        <v>350</v>
      </c>
      <c r="D2" s="478"/>
      <c r="E2" s="478"/>
      <c r="F2" s="478"/>
      <c r="G2" s="478"/>
      <c r="H2" s="478"/>
      <c r="I2" s="478"/>
      <c r="J2" s="478"/>
      <c r="K2" s="478"/>
      <c r="L2" s="9"/>
      <c r="M2" s="9"/>
      <c r="N2" s="9"/>
      <c r="AI2" s="46"/>
    </row>
    <row r="3" spans="2:41" ht="13.5" customHeight="1">
      <c r="C3" s="478"/>
      <c r="D3" s="478"/>
      <c r="E3" s="478"/>
      <c r="F3" s="478"/>
      <c r="G3" s="478"/>
      <c r="H3" s="478"/>
      <c r="I3" s="478"/>
      <c r="J3" s="478"/>
      <c r="K3" s="478"/>
      <c r="L3" s="332"/>
      <c r="M3" s="332"/>
      <c r="N3" s="449"/>
      <c r="V3"/>
      <c r="Y3" s="6"/>
      <c r="AI3" s="46"/>
      <c r="AJ3" s="6"/>
    </row>
    <row r="4" spans="2:41">
      <c r="D4" s="35"/>
      <c r="E4" s="35"/>
      <c r="G4" s="330"/>
      <c r="H4" s="331"/>
      <c r="I4" s="331"/>
      <c r="J4" s="331"/>
      <c r="K4" s="332"/>
      <c r="L4" s="332"/>
      <c r="M4" s="332"/>
      <c r="N4" s="334"/>
      <c r="R4" s="19"/>
      <c r="V4" s="35"/>
      <c r="W4" s="35"/>
      <c r="Y4" s="6"/>
      <c r="Z4" s="35"/>
      <c r="AA4" s="35"/>
      <c r="AB4" s="35"/>
      <c r="AC4" s="35"/>
      <c r="AI4" s="46"/>
      <c r="AJ4" s="6"/>
      <c r="AK4" s="6"/>
      <c r="AL4" s="6"/>
      <c r="AM4" s="6"/>
      <c r="AN4" s="6"/>
      <c r="AO4" s="6"/>
    </row>
    <row r="5" spans="2:41">
      <c r="C5" s="59"/>
      <c r="D5" s="35"/>
      <c r="E5" s="35"/>
      <c r="G5" s="330"/>
      <c r="H5" s="331"/>
      <c r="I5" s="331"/>
      <c r="J5" s="331"/>
      <c r="K5" s="332"/>
      <c r="L5" s="332"/>
      <c r="M5" s="332"/>
      <c r="N5" s="81"/>
      <c r="R5" s="19"/>
      <c r="S5" s="11"/>
      <c r="Y5" s="6"/>
      <c r="Z5" s="6"/>
      <c r="AA5" s="6"/>
      <c r="AB5" s="6"/>
      <c r="AC5" s="6"/>
      <c r="AI5" s="46"/>
      <c r="AJ5" s="6"/>
      <c r="AK5" s="6"/>
      <c r="AL5" s="6"/>
      <c r="AM5" s="6"/>
      <c r="AN5" s="6"/>
      <c r="AO5" s="6"/>
    </row>
    <row r="6" spans="2:41" ht="18.75">
      <c r="B6" s="53" t="s">
        <v>91</v>
      </c>
      <c r="G6" s="477" t="s">
        <v>378</v>
      </c>
      <c r="H6" s="477"/>
      <c r="I6" s="477"/>
      <c r="J6" s="477"/>
      <c r="K6" s="477"/>
      <c r="L6" s="477"/>
      <c r="M6" s="420"/>
      <c r="N6" s="81"/>
      <c r="R6" s="19"/>
      <c r="S6" s="11"/>
      <c r="Y6" s="6"/>
      <c r="Z6" s="6"/>
      <c r="AA6" s="6"/>
      <c r="AB6" s="6"/>
      <c r="AC6" s="6"/>
      <c r="AI6" s="46"/>
      <c r="AJ6" s="6"/>
      <c r="AK6" s="6"/>
      <c r="AL6" s="6"/>
      <c r="AM6" s="6"/>
      <c r="AN6" s="6"/>
      <c r="AO6" s="6"/>
    </row>
    <row r="7" spans="2:41" ht="15" customHeight="1">
      <c r="D7"/>
      <c r="E7" s="476" t="s">
        <v>392</v>
      </c>
      <c r="F7" s="476"/>
      <c r="N7" s="81"/>
      <c r="R7" s="19"/>
      <c r="S7" s="11"/>
      <c r="Y7" s="6"/>
      <c r="Z7" s="6"/>
      <c r="AA7" s="6"/>
      <c r="AB7" s="6"/>
      <c r="AC7" s="6"/>
      <c r="AI7" s="46"/>
      <c r="AJ7" s="6"/>
      <c r="AK7" s="6"/>
      <c r="AL7" s="6"/>
      <c r="AM7" s="6"/>
      <c r="AN7" s="6"/>
      <c r="AO7" s="6"/>
    </row>
    <row r="8" spans="2:41" ht="15" customHeight="1">
      <c r="B8" s="3" t="s">
        <v>379</v>
      </c>
      <c r="D8"/>
      <c r="E8" s="476"/>
      <c r="F8" s="476"/>
      <c r="G8" s="479" t="s">
        <v>377</v>
      </c>
      <c r="H8" s="479"/>
      <c r="I8" s="479"/>
      <c r="J8" s="479"/>
      <c r="K8" s="479"/>
      <c r="L8" s="479"/>
      <c r="M8" s="369"/>
      <c r="N8" s="81"/>
      <c r="R8" s="19"/>
      <c r="Y8" s="6"/>
      <c r="Z8" s="6"/>
      <c r="AA8" s="6"/>
      <c r="AB8" s="6"/>
      <c r="AC8" s="6"/>
      <c r="AI8" s="46"/>
      <c r="AJ8" s="6"/>
      <c r="AK8" s="6"/>
      <c r="AL8" s="6"/>
      <c r="AM8" s="6"/>
      <c r="AN8" s="6"/>
      <c r="AO8" s="6"/>
    </row>
    <row r="9" spans="2:41" ht="16.5" customHeight="1">
      <c r="B9" s="333" t="s">
        <v>77</v>
      </c>
      <c r="C9" s="353">
        <v>20</v>
      </c>
      <c r="D9"/>
      <c r="F9" s="332" t="s">
        <v>342</v>
      </c>
      <c r="G9" s="340" t="s">
        <v>341</v>
      </c>
      <c r="H9" s="150" t="s">
        <v>92</v>
      </c>
      <c r="I9" s="342" t="s">
        <v>607</v>
      </c>
      <c r="J9" s="176" t="s">
        <v>93</v>
      </c>
      <c r="K9" s="185" t="s">
        <v>94</v>
      </c>
      <c r="L9" s="186" t="s">
        <v>617</v>
      </c>
      <c r="M9" s="464" t="s">
        <v>615</v>
      </c>
      <c r="N9" s="458" t="s">
        <v>616</v>
      </c>
      <c r="R9" s="19"/>
      <c r="Y9" s="6"/>
      <c r="Z9" s="6"/>
      <c r="AA9" s="6"/>
      <c r="AB9" s="6"/>
      <c r="AC9" s="6"/>
      <c r="AI9" s="46"/>
      <c r="AJ9" s="6"/>
      <c r="AK9" s="6"/>
      <c r="AL9" s="6"/>
      <c r="AM9" s="6"/>
      <c r="AN9" s="6"/>
      <c r="AO9" s="6"/>
    </row>
    <row r="10" spans="2:41" ht="18" customHeight="1">
      <c r="B10" s="333" t="s">
        <v>214</v>
      </c>
      <c r="C10" s="353">
        <v>2009</v>
      </c>
      <c r="D10"/>
      <c r="F10" s="6" t="s">
        <v>374</v>
      </c>
      <c r="G10" s="24">
        <v>0</v>
      </c>
      <c r="H10" s="364">
        <f>H11/$L$11</f>
        <v>1.0925338773912676E-3</v>
      </c>
      <c r="I10" s="364">
        <f>I11/$L$11</f>
        <v>0.56332819091784048</v>
      </c>
      <c r="J10" s="364">
        <f>J11/$L$11</f>
        <v>0.6705604829002757</v>
      </c>
      <c r="K10" s="364">
        <f>K11/$L$11</f>
        <v>0.6844816293059246</v>
      </c>
      <c r="L10" s="24">
        <f>1</f>
        <v>1</v>
      </c>
      <c r="M10" s="24"/>
      <c r="N10" s="84"/>
      <c r="R10" s="35"/>
      <c r="Y10" s="6"/>
      <c r="Z10" s="6"/>
      <c r="AA10" s="6"/>
      <c r="AB10" s="6"/>
      <c r="AC10" s="6"/>
      <c r="AI10" s="46"/>
      <c r="AJ10" s="6"/>
      <c r="AK10" s="6"/>
      <c r="AL10" s="6"/>
      <c r="AM10" s="6"/>
      <c r="AN10" s="6"/>
      <c r="AO10" s="6"/>
    </row>
    <row r="11" spans="2:41" ht="18" customHeight="1">
      <c r="B11" s="47" t="s">
        <v>80</v>
      </c>
      <c r="C11" s="174" t="s">
        <v>337</v>
      </c>
      <c r="D11"/>
      <c r="F11" s="6" t="s">
        <v>380</v>
      </c>
      <c r="H11" s="38">
        <f>H28</f>
        <v>0.14796035910176206</v>
      </c>
      <c r="I11" s="38">
        <f>H11+D43</f>
        <v>76.290761453889047</v>
      </c>
      <c r="J11" s="178">
        <f>I11+SUM(D46,D47,D48)</f>
        <v>90.813083147849667</v>
      </c>
      <c r="K11" s="178">
        <f>J11+SUM(D51,D50,D52)</f>
        <v>92.698404842593177</v>
      </c>
      <c r="L11" s="178">
        <f>D57</f>
        <v>135.42862346297133</v>
      </c>
      <c r="M11" s="178"/>
      <c r="R11" s="35"/>
      <c r="S11" s="35"/>
      <c r="T11" s="35"/>
      <c r="U11" s="6"/>
      <c r="X11" s="35"/>
      <c r="Y11" s="35"/>
      <c r="Z11" s="35"/>
      <c r="AA11" s="35"/>
      <c r="AB11" s="35"/>
      <c r="AC11" s="35"/>
      <c r="AI11" s="46"/>
      <c r="AJ11" s="35"/>
      <c r="AK11" s="35"/>
      <c r="AL11" s="35"/>
      <c r="AM11" s="35"/>
      <c r="AN11" s="35"/>
      <c r="AO11" s="35"/>
    </row>
    <row r="12" spans="2:41">
      <c r="B12" s="47" t="s">
        <v>89</v>
      </c>
      <c r="C12" s="346" t="s">
        <v>338</v>
      </c>
      <c r="D12"/>
      <c r="F12" s="6" t="s">
        <v>375</v>
      </c>
      <c r="G12" s="6">
        <v>0</v>
      </c>
      <c r="H12" s="364">
        <f>H13/L13</f>
        <v>0.25114936172186075</v>
      </c>
      <c r="I12" s="364">
        <f>I13/L13</f>
        <v>0.87955911082398641</v>
      </c>
      <c r="J12" s="364">
        <f>J13/L13</f>
        <v>0.96936396055796803</v>
      </c>
      <c r="K12" s="364">
        <f>K13/L13</f>
        <v>0.97888202198228969</v>
      </c>
      <c r="L12" s="364">
        <f>L13/L13</f>
        <v>1</v>
      </c>
      <c r="M12" s="364"/>
      <c r="AI12" s="46"/>
    </row>
    <row r="13" spans="2:41" s="11" customFormat="1" ht="18" customHeight="1">
      <c r="B13" s="47" t="s">
        <v>74</v>
      </c>
      <c r="C13" s="346">
        <f>D64</f>
        <v>50</v>
      </c>
      <c r="D13"/>
      <c r="F13" s="6" t="s">
        <v>373</v>
      </c>
      <c r="G13" s="6">
        <v>0</v>
      </c>
      <c r="H13" s="16">
        <f>SUM(E32)</f>
        <v>90.890542432001084</v>
      </c>
      <c r="I13" s="16">
        <f>H13+SUM(E43,E45)</f>
        <v>318.31100081526574</v>
      </c>
      <c r="J13" s="16">
        <f>I13+SUM(E33,E34,E46,E47,E48)</f>
        <v>350.81122876482164</v>
      </c>
      <c r="K13" s="16">
        <f>J13+SUM(E50,E35,E52)</f>
        <v>354.25579959640419</v>
      </c>
      <c r="L13" s="16">
        <f>K13+E55+E37+E38</f>
        <v>361.89836123358032</v>
      </c>
      <c r="M13" s="16"/>
      <c r="AI13" s="280"/>
    </row>
    <row r="14" spans="2:41" s="11" customFormat="1" ht="18" customHeight="1">
      <c r="B14" s="47" t="s">
        <v>76</v>
      </c>
      <c r="C14" s="346" t="s">
        <v>240</v>
      </c>
      <c r="D14"/>
      <c r="F14" s="11" t="s">
        <v>387</v>
      </c>
      <c r="H14" s="18">
        <f>H13</f>
        <v>90.890542432001084</v>
      </c>
      <c r="I14" s="18">
        <f>I13-H14</f>
        <v>227.42045838326464</v>
      </c>
      <c r="J14" s="18">
        <f>J13-I14</f>
        <v>123.39077038155699</v>
      </c>
      <c r="K14" s="18">
        <f>K13-J14</f>
        <v>230.8650292148472</v>
      </c>
      <c r="L14" s="18">
        <f>L13-K14</f>
        <v>131.03333201873312</v>
      </c>
      <c r="M14" s="18"/>
      <c r="AI14" s="280"/>
    </row>
    <row r="15" spans="2:41" s="11" customFormat="1" ht="16.5" customHeight="1">
      <c r="B15" s="47" t="s">
        <v>88</v>
      </c>
      <c r="C15" s="346" t="s">
        <v>339</v>
      </c>
      <c r="F15" s="6" t="s">
        <v>349</v>
      </c>
      <c r="G15" s="6">
        <v>0</v>
      </c>
      <c r="H15" s="16">
        <f>C25</f>
        <v>2816.9999999999995</v>
      </c>
      <c r="I15" s="16">
        <f>C25</f>
        <v>2816.9999999999995</v>
      </c>
      <c r="J15" s="16">
        <f>C25</f>
        <v>2816.9999999999995</v>
      </c>
      <c r="K15" s="16">
        <f>C25</f>
        <v>2816.9999999999995</v>
      </c>
      <c r="L15" s="16">
        <f>C25</f>
        <v>2816.9999999999995</v>
      </c>
      <c r="M15" s="16"/>
      <c r="AI15" s="280"/>
    </row>
    <row r="16" spans="2:41" ht="18" customHeight="1">
      <c r="B16" s="53" t="s">
        <v>386</v>
      </c>
      <c r="F16" s="6" t="s">
        <v>381</v>
      </c>
      <c r="H16" s="366">
        <f>H15/H13</f>
        <v>30.993323668494025</v>
      </c>
      <c r="I16" s="366">
        <f>I15/I13</f>
        <v>8.8498355155336501</v>
      </c>
      <c r="J16" s="366">
        <f>J15/J13</f>
        <v>8.0299596165106575</v>
      </c>
      <c r="K16" s="366">
        <f>K15/K13</f>
        <v>7.9518811074069795</v>
      </c>
      <c r="L16" s="366">
        <f>L15/L13</f>
        <v>7.7839534569813127</v>
      </c>
      <c r="M16" s="366"/>
      <c r="AI16" s="46"/>
    </row>
    <row r="17" spans="1:35" ht="15" customHeight="1">
      <c r="A17" s="150" t="s">
        <v>92</v>
      </c>
      <c r="B17" s="341" t="s">
        <v>413</v>
      </c>
      <c r="D17" s="48"/>
      <c r="F17" s="6" t="s">
        <v>285</v>
      </c>
      <c r="H17" s="366">
        <f>H16</f>
        <v>30.993323668494025</v>
      </c>
      <c r="I17" s="366">
        <f>I16</f>
        <v>8.8498355155336501</v>
      </c>
      <c r="J17" s="366">
        <f>J16</f>
        <v>8.0299596165106575</v>
      </c>
      <c r="K17" s="366">
        <f>K16</f>
        <v>7.9518811074069795</v>
      </c>
      <c r="L17" s="366">
        <f>L16</f>
        <v>7.7839534569813127</v>
      </c>
      <c r="M17" s="366"/>
      <c r="AI17" s="46"/>
    </row>
    <row r="18" spans="1:35" ht="15" customHeight="1">
      <c r="A18" s="342" t="s">
        <v>607</v>
      </c>
      <c r="B18" s="341" t="s">
        <v>411</v>
      </c>
      <c r="D18" s="48"/>
      <c r="V18"/>
      <c r="W18"/>
      <c r="X18"/>
    </row>
    <row r="19" spans="1:35" ht="15" customHeight="1">
      <c r="A19" s="176" t="s">
        <v>93</v>
      </c>
      <c r="B19" s="341" t="s">
        <v>385</v>
      </c>
      <c r="D19" s="48"/>
      <c r="E19" s="476" t="s">
        <v>391</v>
      </c>
      <c r="F19" s="476"/>
      <c r="V19"/>
      <c r="W19"/>
      <c r="X19"/>
    </row>
    <row r="20" spans="1:35" ht="15" customHeight="1">
      <c r="A20" s="185" t="s">
        <v>94</v>
      </c>
      <c r="B20" s="341" t="s">
        <v>384</v>
      </c>
      <c r="C20" s="375"/>
      <c r="D20" s="376"/>
      <c r="E20" s="476"/>
      <c r="F20" s="476"/>
      <c r="G20" s="479" t="s">
        <v>376</v>
      </c>
      <c r="H20" s="479"/>
      <c r="I20" s="479"/>
      <c r="J20" s="479"/>
      <c r="K20" s="479"/>
      <c r="L20" s="479"/>
      <c r="M20" s="369"/>
      <c r="V20"/>
      <c r="W20"/>
      <c r="X20"/>
    </row>
    <row r="21" spans="1:35" ht="15" customHeight="1">
      <c r="A21" s="186" t="s">
        <v>95</v>
      </c>
      <c r="B21" s="341" t="s">
        <v>383</v>
      </c>
      <c r="C21" s="377"/>
      <c r="D21" s="376"/>
      <c r="F21" s="332" t="s">
        <v>342</v>
      </c>
      <c r="G21" s="340" t="s">
        <v>341</v>
      </c>
      <c r="H21" s="150" t="s">
        <v>92</v>
      </c>
      <c r="I21" s="342" t="s">
        <v>607</v>
      </c>
      <c r="J21" s="176" t="s">
        <v>93</v>
      </c>
      <c r="K21" s="185" t="s">
        <v>94</v>
      </c>
      <c r="L21" s="186" t="s">
        <v>617</v>
      </c>
      <c r="M21" s="464" t="s">
        <v>615</v>
      </c>
      <c r="N21" s="458" t="s">
        <v>616</v>
      </c>
      <c r="V21"/>
      <c r="W21"/>
      <c r="X21"/>
    </row>
    <row r="22" spans="1:35" ht="15" customHeight="1">
      <c r="B22" s="53" t="s">
        <v>87</v>
      </c>
      <c r="C22" s="161"/>
      <c r="D22" s="161"/>
      <c r="F22" s="46" t="s">
        <v>585</v>
      </c>
      <c r="G22" s="24">
        <v>0</v>
      </c>
      <c r="H22" s="447">
        <f>H28/$M$28</f>
        <v>1.7330638819765813E-2</v>
      </c>
      <c r="I22" s="447">
        <f>I28/$M$28</f>
        <v>0.84941389318692062</v>
      </c>
      <c r="J22" s="447">
        <f>J28/$M$28</f>
        <v>0.91133207917502557</v>
      </c>
      <c r="K22" s="447">
        <f>K28/$M$28</f>
        <v>0.91777275858199148</v>
      </c>
      <c r="L22" s="447">
        <f>L28/$M28</f>
        <v>0.97554426041314901</v>
      </c>
      <c r="M22" s="447">
        <f>M28/$M$28</f>
        <v>1</v>
      </c>
      <c r="N22" s="447">
        <f>N28/$M$28</f>
        <v>0.99812575566559425</v>
      </c>
      <c r="V22"/>
      <c r="W22"/>
      <c r="X22"/>
    </row>
    <row r="23" spans="1:35" ht="15" customHeight="1">
      <c r="B23" s="3" t="s">
        <v>8</v>
      </c>
      <c r="C23" t="s">
        <v>85</v>
      </c>
      <c r="D23" t="s">
        <v>86</v>
      </c>
      <c r="F23" s="6" t="s">
        <v>375</v>
      </c>
      <c r="H23" s="24">
        <f t="shared" ref="H23:N23" si="0">H24/$M$24</f>
        <v>0.14481699278632451</v>
      </c>
      <c r="I23" s="24">
        <f t="shared" si="0"/>
        <v>0.50716876637227637</v>
      </c>
      <c r="J23" s="24">
        <f t="shared" si="0"/>
        <v>0.55895177359681869</v>
      </c>
      <c r="K23" s="24">
        <f t="shared" si="0"/>
        <v>0.5656743644467439</v>
      </c>
      <c r="L23" s="24">
        <f t="shared" si="0"/>
        <v>0.62772196727875018</v>
      </c>
      <c r="M23" s="24">
        <f t="shared" si="0"/>
        <v>1</v>
      </c>
      <c r="N23" s="24">
        <f t="shared" si="0"/>
        <v>1</v>
      </c>
      <c r="V23"/>
      <c r="W23"/>
      <c r="X23"/>
    </row>
    <row r="24" spans="1:35" ht="15" customHeight="1">
      <c r="A24" s="159" t="s">
        <v>96</v>
      </c>
      <c r="B24" s="54" t="s">
        <v>225</v>
      </c>
      <c r="C24" s="4">
        <f>D69</f>
        <v>5633999.9999999991</v>
      </c>
      <c r="F24" s="6" t="s">
        <v>373</v>
      </c>
      <c r="H24" s="4">
        <f>-'EROI vs IRR VestOnshore2MW'!D24</f>
        <v>3635621.4355153013</v>
      </c>
      <c r="I24" s="4">
        <f>-'EROI vs IRR VestOnshore2MW'!J24</f>
        <v>12732439.770845886</v>
      </c>
      <c r="J24" s="4">
        <f>-'EROI vs IRR VestOnshore2MW'!P24</f>
        <v>14032448.888828125</v>
      </c>
      <c r="K24" s="4">
        <f>-'EROI vs IRR VestOnshore2MW'!V24</f>
        <v>14201219.106507268</v>
      </c>
      <c r="L24" s="4">
        <f>-'EROI vs IRR VestOnshore2MW'!AB24</f>
        <v>15758920.247361813</v>
      </c>
      <c r="M24" s="4">
        <f>-'EROI vs IRR VestOnshore2MW'!AN24</f>
        <v>25104936.689851109</v>
      </c>
      <c r="N24" s="4">
        <f>-'EROI vs IRR VestOnshore2MW'!AT24</f>
        <v>25104936.689851109</v>
      </c>
      <c r="V24"/>
      <c r="W24"/>
      <c r="X24"/>
    </row>
    <row r="25" spans="1:35" ht="15" customHeight="1">
      <c r="B25" s="152" t="s">
        <v>334</v>
      </c>
      <c r="C25" s="304">
        <f>C24/D63</f>
        <v>2816.9999999999995</v>
      </c>
      <c r="D25"/>
      <c r="F25" s="6" t="s">
        <v>349</v>
      </c>
      <c r="H25" s="4">
        <f>'EROI vs IRR VestOnshore2MW'!C24</f>
        <v>112680000</v>
      </c>
      <c r="I25" s="4">
        <f>'EROI vs IRR VestOnshore2MW'!I24</f>
        <v>112680000</v>
      </c>
      <c r="J25" s="4">
        <f>'EROI vs IRR VestOnshore2MW'!O24</f>
        <v>112680000</v>
      </c>
      <c r="K25" s="4">
        <f>'EROI vs IRR VestOnshore2MW'!U24</f>
        <v>112680000</v>
      </c>
      <c r="L25" s="4">
        <f>'EROI vs IRR VestOnshore2MW'!AA24</f>
        <v>112680000</v>
      </c>
      <c r="M25" s="4">
        <f>'EROI vs IRR VestOnshore2MW'!AM24</f>
        <v>112680000</v>
      </c>
      <c r="N25" s="4">
        <f>'EROI vs IRR VestOnshore2MW'!AS24</f>
        <v>115327808.0093921</v>
      </c>
      <c r="V25"/>
      <c r="W25"/>
      <c r="X25"/>
    </row>
    <row r="26" spans="1:35" ht="15" customHeight="1">
      <c r="B26" s="52" t="s">
        <v>90</v>
      </c>
      <c r="C26" s="4"/>
      <c r="D26"/>
      <c r="F26" s="6" t="s">
        <v>382</v>
      </c>
      <c r="G26" s="6"/>
      <c r="H26" s="324">
        <f t="shared" ref="H26:N26" si="1">H25/H24</f>
        <v>30.993325900013321</v>
      </c>
      <c r="I26" s="324">
        <f t="shared" si="1"/>
        <v>8.8498356974763883</v>
      </c>
      <c r="J26" s="324">
        <f t="shared" si="1"/>
        <v>8.0299597663034934</v>
      </c>
      <c r="K26" s="324">
        <f t="shared" si="1"/>
        <v>7.9345300678001571</v>
      </c>
      <c r="L26" s="324">
        <f t="shared" si="1"/>
        <v>7.150236071463314</v>
      </c>
      <c r="M26" s="324">
        <f t="shared" si="1"/>
        <v>4.4883602532864337</v>
      </c>
      <c r="N26" s="324">
        <f t="shared" si="1"/>
        <v>4.5938298683706451</v>
      </c>
      <c r="V26"/>
      <c r="W26"/>
      <c r="X26"/>
    </row>
    <row r="27" spans="1:35" ht="15" customHeight="1">
      <c r="A27" s="149" t="s">
        <v>96</v>
      </c>
      <c r="B27" s="54" t="s">
        <v>83</v>
      </c>
      <c r="D27" s="329">
        <f>C25*E28</f>
        <v>281699.99999999994</v>
      </c>
      <c r="F27" s="11" t="s">
        <v>285</v>
      </c>
      <c r="G27" s="6"/>
      <c r="H27" s="15">
        <f>'EROI vs IRR VestOnshore2MW'!C27</f>
        <v>1.5496662835039974</v>
      </c>
      <c r="I27" s="15">
        <f>'EROI vs IRR VestOnshore2MW'!I27</f>
        <v>0.44219977553594125</v>
      </c>
      <c r="J27" s="15">
        <f>'EROI vs IRR VestOnshore2MW'!O27</f>
        <v>0.4370767468560926</v>
      </c>
      <c r="K27" s="15">
        <f>'EROI vs IRR VestOnshore2MW'!U27</f>
        <v>0.43641158097041771</v>
      </c>
      <c r="L27" s="15">
        <f>'EROI vs IRR VestOnshore2MW'!AA27</f>
        <v>0.43027135003642308</v>
      </c>
      <c r="M27" s="15">
        <f>'EROI vs IRR VestOnshore2MW'!AM27</f>
        <v>0.38668112282215589</v>
      </c>
      <c r="N27" s="15">
        <f>'EROI vs IRR VestOnshore2MW'!AS27</f>
        <v>0.40683740577212563</v>
      </c>
      <c r="V27"/>
      <c r="W27"/>
      <c r="X27"/>
    </row>
    <row r="28" spans="1:35" ht="15" customHeight="1">
      <c r="B28" s="51" t="s">
        <v>222</v>
      </c>
      <c r="C28" s="346"/>
      <c r="D28" s="346"/>
      <c r="E28" s="347">
        <f>D71</f>
        <v>100</v>
      </c>
      <c r="F28" s="419" t="s">
        <v>584</v>
      </c>
      <c r="H28" s="297">
        <f>EconomicValueEnergy!I16/1000000</f>
        <v>0.14796035910176206</v>
      </c>
      <c r="I28" s="446">
        <f>NREL_OnlineCashFlow_SEA3.1!D3/1000+'Project LCA &amp; TEA'!H28</f>
        <v>7.251872592176082</v>
      </c>
      <c r="J28" s="446">
        <f>NREL_OnlineCashFlow_SEA3.1!D4/1000+'Project LCA &amp; TEA'!H28</f>
        <v>7.7804992128682722</v>
      </c>
      <c r="K28" s="446">
        <f>NREL_OnlineCashFlow_SEA3.1!D5/1000+'Project LCA &amp; TEA'!H28</f>
        <v>7.8354865245204621</v>
      </c>
      <c r="L28" s="297">
        <f>NREL_OnlineCashFlow_SEA3.1!D6/1000+'Project LCA &amp; TEA'!H28</f>
        <v>8.3287108220020531</v>
      </c>
      <c r="M28" s="297">
        <f>NREL_OnlineCashFlow_SEA3.1!D7/1000+'Project LCA &amp; TEA'!H28</f>
        <v>8.5375017413098124</v>
      </c>
      <c r="N28" s="463">
        <f>NREL_OnlineCashFlow_SEA3.1!D8/1000+'Project LCA &amp; TEA'!H28</f>
        <v>8.5215003770411837</v>
      </c>
      <c r="V28"/>
      <c r="W28"/>
      <c r="X28"/>
    </row>
    <row r="29" spans="1:35" ht="15" customHeight="1">
      <c r="B29" s="50"/>
      <c r="F29" s="332" t="s">
        <v>587</v>
      </c>
      <c r="G29" s="283"/>
      <c r="H29" s="354">
        <f>NREL_OnlineCashFlow_SEA3.1!F2</f>
        <v>2.289644721054843</v>
      </c>
      <c r="I29" s="354">
        <f>NREL_OnlineCashFlow_SEA3.1!F3*10</f>
        <v>58.2</v>
      </c>
      <c r="J29" s="354">
        <f>NREL_OnlineCashFlow_SEA3.1!F4*10</f>
        <v>66.3</v>
      </c>
      <c r="K29" s="354">
        <f>NREL_OnlineCashFlow_SEA3.1!F5*10</f>
        <v>67.099999999999994</v>
      </c>
      <c r="L29" s="256">
        <f>NREL_OnlineCashFlow_SEA3.1!F7*10</f>
        <v>77.699999999999989</v>
      </c>
      <c r="M29" s="256">
        <f>NREL_OnlineCashFlow_SEA3.1!F8*10</f>
        <v>99</v>
      </c>
      <c r="N29" s="38">
        <f>NREL_OnlineCashFlow_SEA3.1!F9*10</f>
        <v>78.899999999999991</v>
      </c>
      <c r="V29"/>
      <c r="W29"/>
      <c r="X29"/>
      <c r="AD29" s="6"/>
    </row>
    <row r="30" spans="1:35" ht="15" customHeight="1">
      <c r="B30" s="53" t="s">
        <v>332</v>
      </c>
      <c r="C30" s="6" t="s">
        <v>289</v>
      </c>
      <c r="D30" s="6" t="s">
        <v>316</v>
      </c>
      <c r="E30" s="6" t="s">
        <v>92</v>
      </c>
      <c r="J30"/>
      <c r="K30"/>
      <c r="V30"/>
      <c r="W30"/>
      <c r="X30"/>
    </row>
    <row r="31" spans="1:35" ht="15" customHeight="1">
      <c r="B31" s="3" t="s">
        <v>294</v>
      </c>
      <c r="C31" s="6" t="s">
        <v>300</v>
      </c>
      <c r="D31" s="6" t="s">
        <v>355</v>
      </c>
      <c r="E31" s="6" t="s">
        <v>322</v>
      </c>
      <c r="V31"/>
      <c r="W31"/>
      <c r="X31"/>
    </row>
    <row r="32" spans="1:35" ht="15" customHeight="1">
      <c r="A32" s="149" t="s">
        <v>92</v>
      </c>
      <c r="B32" s="54" t="s">
        <v>333</v>
      </c>
      <c r="C32" s="282"/>
      <c r="D32"/>
      <c r="E32" s="320">
        <f>J103/20</f>
        <v>90.890542432001084</v>
      </c>
      <c r="F32" s="6"/>
      <c r="G32" s="6"/>
      <c r="H32" s="324"/>
      <c r="I32" s="324"/>
      <c r="J32" s="324"/>
      <c r="K32" s="324"/>
      <c r="L32" s="324"/>
      <c r="M32" s="324"/>
      <c r="V32"/>
      <c r="W32"/>
      <c r="X32"/>
    </row>
    <row r="33" spans="1:24" ht="15" customHeight="1">
      <c r="A33" s="157" t="s">
        <v>93</v>
      </c>
      <c r="B33" s="55" t="s">
        <v>293</v>
      </c>
      <c r="C33" s="285">
        <v>0</v>
      </c>
      <c r="D33" s="303">
        <f>D46</f>
        <v>11.600736302588494</v>
      </c>
      <c r="E33" s="304">
        <f t="shared" ref="E33:E38" si="2">D33*C33*_WhAv/1000</f>
        <v>0</v>
      </c>
      <c r="V33"/>
      <c r="W33"/>
      <c r="X33"/>
    </row>
    <row r="34" spans="1:24" ht="15" customHeight="1">
      <c r="B34" s="55" t="s">
        <v>292</v>
      </c>
      <c r="C34" s="285">
        <v>0</v>
      </c>
      <c r="D34" s="304">
        <f>D47</f>
        <v>0.17307908026050201</v>
      </c>
      <c r="E34" s="304">
        <f t="shared" si="2"/>
        <v>0</v>
      </c>
      <c r="F34" s="285"/>
      <c r="V34"/>
      <c r="W34"/>
      <c r="X34"/>
    </row>
    <row r="35" spans="1:24" ht="15" customHeight="1">
      <c r="A35" s="156" t="s">
        <v>94</v>
      </c>
      <c r="B35" s="56" t="s">
        <v>296</v>
      </c>
      <c r="C35" s="285">
        <v>0</v>
      </c>
      <c r="D35" s="304">
        <f>D51</f>
        <v>0.34615816052100329</v>
      </c>
      <c r="E35" s="304">
        <f t="shared" si="2"/>
        <v>0</v>
      </c>
      <c r="V35"/>
      <c r="W35"/>
      <c r="X35"/>
    </row>
    <row r="36" spans="1:24" ht="15" customHeight="1">
      <c r="B36" s="56" t="s">
        <v>295</v>
      </c>
      <c r="C36" s="285">
        <v>0</v>
      </c>
      <c r="D36" s="38">
        <f>D50</f>
        <v>0</v>
      </c>
      <c r="E36" s="304">
        <f t="shared" si="2"/>
        <v>0</v>
      </c>
      <c r="O36" s="283"/>
      <c r="V36"/>
      <c r="W36"/>
      <c r="X36"/>
    </row>
    <row r="37" spans="1:24" ht="15" customHeight="1">
      <c r="A37" s="148" t="s">
        <v>95</v>
      </c>
      <c r="B37" s="57" t="s">
        <v>297</v>
      </c>
      <c r="C37" s="285">
        <v>0</v>
      </c>
      <c r="D37" s="38">
        <f>D45</f>
        <v>25.477195588186195</v>
      </c>
      <c r="E37" s="304">
        <f t="shared" si="2"/>
        <v>0</v>
      </c>
      <c r="V37"/>
      <c r="W37"/>
      <c r="X37"/>
    </row>
    <row r="38" spans="1:24" ht="15" customHeight="1">
      <c r="A38" s="148"/>
      <c r="B38" s="57" t="s">
        <v>298</v>
      </c>
      <c r="C38" s="285">
        <v>0</v>
      </c>
      <c r="D38" s="288"/>
      <c r="E38" s="307">
        <f t="shared" si="2"/>
        <v>0</v>
      </c>
      <c r="V38"/>
      <c r="W38"/>
      <c r="X38"/>
    </row>
    <row r="39" spans="1:24" ht="15" customHeight="1">
      <c r="B39" s="49" t="s">
        <v>223</v>
      </c>
      <c r="C39" s="282"/>
      <c r="D39"/>
      <c r="E39" s="304">
        <f>SUM(E32:E38)</f>
        <v>90.890542432001084</v>
      </c>
      <c r="V39"/>
      <c r="W39"/>
      <c r="X39"/>
    </row>
    <row r="40" spans="1:24" ht="15" customHeight="1">
      <c r="B40" s="49"/>
      <c r="C40" s="282" t="s">
        <v>324</v>
      </c>
      <c r="D40" s="6" t="s">
        <v>84</v>
      </c>
      <c r="E40" s="6" t="s">
        <v>299</v>
      </c>
      <c r="V40"/>
      <c r="W40"/>
      <c r="X40"/>
    </row>
    <row r="41" spans="1:24" ht="15" customHeight="1">
      <c r="B41" s="3" t="s">
        <v>286</v>
      </c>
      <c r="C41" s="6" t="s">
        <v>300</v>
      </c>
      <c r="D41" s="6" t="s">
        <v>355</v>
      </c>
      <c r="E41" s="11" t="s">
        <v>322</v>
      </c>
      <c r="F41" s="490">
        <f>D42+D44</f>
        <v>2032.3999336594695</v>
      </c>
      <c r="G41" s="371"/>
      <c r="H41" s="283"/>
      <c r="I41" s="283"/>
      <c r="J41" s="332"/>
      <c r="K41" s="332"/>
      <c r="L41" s="283"/>
      <c r="M41" s="283"/>
      <c r="V41"/>
      <c r="W41"/>
      <c r="X41"/>
    </row>
    <row r="42" spans="1:24" ht="15" customHeight="1">
      <c r="A42" s="293" t="s">
        <v>607</v>
      </c>
      <c r="B42" s="293" t="s">
        <v>212</v>
      </c>
      <c r="C42" s="282"/>
      <c r="D42" s="38">
        <f>'JEDI Project data'!F37</f>
        <v>1522.8560218957457</v>
      </c>
      <c r="E42" s="365">
        <f>D42*_WhAv/1000</f>
        <v>3408.0754364881122</v>
      </c>
      <c r="F42" s="372"/>
      <c r="G42" s="283"/>
      <c r="H42" s="283"/>
      <c r="I42" s="283"/>
      <c r="J42" s="332"/>
      <c r="K42" s="332"/>
      <c r="L42" s="283"/>
      <c r="M42" s="283"/>
      <c r="V42"/>
      <c r="W42"/>
      <c r="X42"/>
    </row>
    <row r="43" spans="1:24" ht="15" customHeight="1">
      <c r="A43" s="294"/>
      <c r="B43" s="294" t="s">
        <v>213</v>
      </c>
      <c r="C43" s="301">
        <v>1</v>
      </c>
      <c r="D43" s="38">
        <f>D42/_dur</f>
        <v>76.142801094787288</v>
      </c>
      <c r="E43" s="304">
        <f>C43*D43*_WhAv/1000</f>
        <v>170.40377182440565</v>
      </c>
      <c r="F43" s="372"/>
      <c r="G43" s="283"/>
      <c r="H43" s="283"/>
      <c r="I43" s="283"/>
      <c r="J43" s="373"/>
      <c r="K43" s="373"/>
      <c r="L43" s="373"/>
      <c r="M43" s="373"/>
      <c r="N43" s="341"/>
      <c r="V43"/>
      <c r="W43"/>
      <c r="X43"/>
    </row>
    <row r="44" spans="1:24" ht="15" customHeight="1">
      <c r="A44" s="345"/>
      <c r="B44" s="293" t="s">
        <v>412</v>
      </c>
      <c r="C44" s="301"/>
      <c r="D44" s="38">
        <f>'JEDI Project data'!F61</f>
        <v>509.54391176372388</v>
      </c>
      <c r="E44" s="365">
        <f>D44*_WhAv/1000</f>
        <v>1140.3337311771802</v>
      </c>
      <c r="F44" s="372"/>
      <c r="H44" s="59"/>
      <c r="K44" s="373"/>
      <c r="L44" s="373"/>
      <c r="M44" s="373"/>
      <c r="N44" s="341"/>
      <c r="V44"/>
      <c r="W44"/>
      <c r="X44"/>
    </row>
    <row r="45" spans="1:24" ht="15" customHeight="1">
      <c r="A45" s="345"/>
      <c r="B45" s="294" t="s">
        <v>213</v>
      </c>
      <c r="C45" s="301">
        <v>1</v>
      </c>
      <c r="D45" s="38">
        <f>D44/_dur</f>
        <v>25.477195588186195</v>
      </c>
      <c r="E45" s="304">
        <f>C45*D45*_WhAv/1000</f>
        <v>57.016686558859021</v>
      </c>
      <c r="F45" s="372"/>
      <c r="K45" s="373"/>
      <c r="L45" s="373"/>
      <c r="M45" s="373"/>
      <c r="N45" s="341"/>
      <c r="V45"/>
      <c r="W45"/>
      <c r="X45"/>
    </row>
    <row r="46" spans="1:24" ht="15" customHeight="1">
      <c r="A46" s="157" t="s">
        <v>591</v>
      </c>
      <c r="B46" s="55" t="s">
        <v>215</v>
      </c>
      <c r="C46" s="301">
        <v>1</v>
      </c>
      <c r="D46" s="38">
        <f>'JEDI Project data'!F74</f>
        <v>11.600736302588494</v>
      </c>
      <c r="E46" s="304">
        <f>C46*D46*_WhAv/1000</f>
        <v>25.961866302246143</v>
      </c>
      <c r="F46" s="372"/>
      <c r="K46" s="373"/>
      <c r="L46" s="373"/>
      <c r="M46" s="373"/>
      <c r="N46" s="341"/>
      <c r="V46"/>
      <c r="W46"/>
      <c r="X46"/>
    </row>
    <row r="47" spans="1:24" ht="15" customHeight="1">
      <c r="A47" s="158"/>
      <c r="B47" s="55" t="s">
        <v>310</v>
      </c>
      <c r="C47" s="301">
        <v>1</v>
      </c>
      <c r="D47" s="38">
        <f>'JEDI Project data'!H76</f>
        <v>0.17307908026050201</v>
      </c>
      <c r="E47" s="304">
        <f>C47*D47*_WhAv/1000</f>
        <v>0.38734230519801138</v>
      </c>
      <c r="F47" s="528"/>
      <c r="K47" s="373"/>
      <c r="L47" s="373"/>
      <c r="M47" s="373"/>
      <c r="N47" s="341"/>
      <c r="V47"/>
      <c r="W47"/>
      <c r="X47"/>
    </row>
    <row r="48" spans="1:24" ht="15" customHeight="1">
      <c r="A48" s="157"/>
      <c r="B48" s="55" t="s">
        <v>224</v>
      </c>
      <c r="C48" s="301">
        <v>1</v>
      </c>
      <c r="D48" s="38">
        <f>'JEDI Project data'!F69</f>
        <v>2.7485063111116186</v>
      </c>
      <c r="E48" s="304">
        <f>C48*D48*_WhAv/1000</f>
        <v>6.1510193421117334</v>
      </c>
      <c r="F48" s="527">
        <f>SUM(D46:D48)</f>
        <v>14.522321693960615</v>
      </c>
      <c r="K48" s="373"/>
      <c r="L48" s="373"/>
      <c r="M48" s="373"/>
      <c r="N48" s="341"/>
      <c r="V48"/>
      <c r="W48"/>
      <c r="X48"/>
    </row>
    <row r="49" spans="1:24" ht="15" customHeight="1">
      <c r="A49" s="157"/>
      <c r="B49" s="154" t="s">
        <v>631</v>
      </c>
      <c r="D49" s="301" t="s">
        <v>388</v>
      </c>
      <c r="E49" s="379">
        <f>SUM(E46:E48)</f>
        <v>32.500227949555885</v>
      </c>
      <c r="F49" s="372"/>
      <c r="K49" s="373"/>
      <c r="L49" s="373"/>
      <c r="M49" s="373"/>
      <c r="N49" s="341"/>
      <c r="V49"/>
      <c r="W49"/>
      <c r="X49"/>
    </row>
    <row r="50" spans="1:24" ht="15" customHeight="1">
      <c r="A50" s="156" t="s">
        <v>592</v>
      </c>
      <c r="B50" s="56" t="s">
        <v>216</v>
      </c>
      <c r="C50" s="301">
        <v>1</v>
      </c>
      <c r="D50" s="38">
        <f>'JEDI Project data'!F84</f>
        <v>0</v>
      </c>
      <c r="E50" s="304">
        <f>C50*D50*_WhAv/1000</f>
        <v>0</v>
      </c>
      <c r="F50" s="372"/>
      <c r="K50" s="373"/>
      <c r="L50" s="373"/>
      <c r="M50" s="373"/>
      <c r="N50" s="341"/>
      <c r="V50"/>
      <c r="W50"/>
      <c r="X50"/>
    </row>
    <row r="51" spans="1:24" ht="15" customHeight="1">
      <c r="A51" s="156"/>
      <c r="B51" s="56" t="s">
        <v>311</v>
      </c>
      <c r="C51" s="301">
        <v>1</v>
      </c>
      <c r="D51" s="38">
        <f>'JEDI Project data'!H77</f>
        <v>0.34615816052100329</v>
      </c>
      <c r="E51" s="304">
        <f>C51*D51*_WhAv/1000</f>
        <v>0.77468461039602121</v>
      </c>
      <c r="F51" s="374"/>
      <c r="K51" s="373"/>
      <c r="L51" s="373"/>
      <c r="M51" s="373"/>
      <c r="N51" s="341"/>
      <c r="V51"/>
      <c r="W51"/>
      <c r="X51"/>
    </row>
    <row r="52" spans="1:24" ht="15" customHeight="1">
      <c r="A52" s="156"/>
      <c r="B52" s="56" t="s">
        <v>217</v>
      </c>
      <c r="C52" s="301">
        <v>1</v>
      </c>
      <c r="D52" s="38">
        <f>'JEDI Project data'!F70</f>
        <v>1.5391635342225061</v>
      </c>
      <c r="E52" s="304">
        <f>C52*D52*_WhAv/1000</f>
        <v>3.44457083158257</v>
      </c>
      <c r="F52" s="527">
        <f>SUM(D50:D52)</f>
        <v>1.8853216947435094</v>
      </c>
      <c r="K52" s="373"/>
      <c r="L52" s="373"/>
      <c r="M52" s="373"/>
      <c r="V52"/>
      <c r="W52"/>
      <c r="X52"/>
    </row>
    <row r="53" spans="1:24" ht="15" customHeight="1">
      <c r="A53" s="156"/>
      <c r="B53" s="153" t="s">
        <v>631</v>
      </c>
      <c r="C53" s="301"/>
      <c r="D53" s="301" t="s">
        <v>388</v>
      </c>
      <c r="E53" s="379">
        <f>SUM(E50:E52)</f>
        <v>4.219255441978591</v>
      </c>
      <c r="F53" s="372"/>
      <c r="G53" s="283"/>
      <c r="H53" s="283"/>
      <c r="I53" s="283"/>
      <c r="J53" s="373"/>
      <c r="K53" s="373"/>
      <c r="L53" s="373"/>
      <c r="M53" s="373"/>
      <c r="V53"/>
      <c r="W53"/>
      <c r="X53"/>
    </row>
    <row r="54" spans="1:24" ht="15" customHeight="1">
      <c r="A54" s="148" t="s">
        <v>620</v>
      </c>
      <c r="B54" s="57" t="s">
        <v>315</v>
      </c>
      <c r="C54" s="301">
        <v>1</v>
      </c>
      <c r="D54" s="38">
        <f>'JEDI Project data'!F103</f>
        <v>13.986000000000001</v>
      </c>
      <c r="E54" s="382">
        <f>C54*D54*_WhAv/1000</f>
        <v>31.299966884187757</v>
      </c>
      <c r="F54" s="372"/>
      <c r="G54" s="283"/>
      <c r="H54" s="283"/>
      <c r="I54" s="283"/>
      <c r="J54" s="373"/>
      <c r="K54" s="373"/>
      <c r="L54" s="373"/>
      <c r="M54" s="373"/>
      <c r="V54"/>
      <c r="W54"/>
      <c r="X54"/>
    </row>
    <row r="55" spans="1:24" ht="15" customHeight="1">
      <c r="A55" s="148" t="s">
        <v>659</v>
      </c>
      <c r="B55" s="57" t="s">
        <v>314</v>
      </c>
      <c r="C55" s="301">
        <v>1</v>
      </c>
      <c r="D55" s="38">
        <f>'JEDI Project data'!F75</f>
        <v>3.414983391293744</v>
      </c>
      <c r="E55" s="382">
        <f>C55*D55*_WhAv/1000</f>
        <v>7.642561637176132</v>
      </c>
      <c r="F55" s="527">
        <f>D54+D55</f>
        <v>17.400983391293746</v>
      </c>
      <c r="G55" s="283"/>
      <c r="H55" s="283"/>
      <c r="I55" s="283"/>
      <c r="J55" s="373"/>
      <c r="K55" s="373"/>
      <c r="L55" s="373"/>
      <c r="M55" s="373"/>
      <c r="V55"/>
      <c r="W55"/>
      <c r="X55"/>
    </row>
    <row r="56" spans="1:24" ht="15" customHeight="1">
      <c r="A56" s="148"/>
      <c r="B56" s="155" t="s">
        <v>631</v>
      </c>
      <c r="C56" s="287"/>
      <c r="D56" s="301" t="s">
        <v>388</v>
      </c>
      <c r="E56" s="381">
        <f>SUM(E54:E55)</f>
        <v>38.94252852136389</v>
      </c>
      <c r="F56" s="491"/>
      <c r="V56"/>
      <c r="W56"/>
      <c r="X56"/>
    </row>
    <row r="57" spans="1:24" ht="15" customHeight="1">
      <c r="B57" s="49" t="s">
        <v>223</v>
      </c>
      <c r="C57" s="284"/>
      <c r="D57" s="380">
        <f>SUM(D45,D43,D46,D47,D48,D50,D51,D52,D54,D55)</f>
        <v>135.42862346297133</v>
      </c>
      <c r="E57" s="379">
        <f>SUM(E45,E43,E46,E47,E48,E50,E51,E52,E54,E55)</f>
        <v>303.08247029616302</v>
      </c>
      <c r="F57" s="527">
        <f>F55+F52+F48</f>
        <v>33.808626779997873</v>
      </c>
      <c r="V57"/>
      <c r="W57"/>
      <c r="X57"/>
    </row>
    <row r="58" spans="1:24" ht="15" customHeight="1">
      <c r="B58" s="363" t="s">
        <v>230</v>
      </c>
      <c r="C58" s="48"/>
      <c r="D58" s="38">
        <f>E57/D57</f>
        <v>2.2379498701692948</v>
      </c>
      <c r="F58" s="495"/>
      <c r="H58" s="38">
        <f>F48+F52</f>
        <v>16.407643388704123</v>
      </c>
      <c r="V58"/>
      <c r="W58"/>
      <c r="X58"/>
    </row>
    <row r="59" spans="1:24" ht="15" customHeight="1">
      <c r="A59" s="457" t="s">
        <v>619</v>
      </c>
      <c r="B59" s="435" t="s">
        <v>661</v>
      </c>
      <c r="D59" s="461">
        <f>D79*D69/_KWturb*D80</f>
        <v>591.56999999999994</v>
      </c>
      <c r="E59" s="38">
        <f>D59/D80*_WhAv/1000</f>
        <v>132.39040046960497</v>
      </c>
      <c r="F59" t="s">
        <v>603</v>
      </c>
      <c r="V59"/>
      <c r="W59"/>
      <c r="X59"/>
    </row>
    <row r="60" spans="1:24" ht="15" customHeight="1">
      <c r="A60" s="523" t="s">
        <v>620</v>
      </c>
      <c r="B60" s="525" t="s">
        <v>660</v>
      </c>
      <c r="C60" s="11">
        <v>1</v>
      </c>
      <c r="D60" s="461">
        <v>0</v>
      </c>
      <c r="E60" s="382">
        <f>C60*D60*_WhAv/1000</f>
        <v>0</v>
      </c>
      <c r="F60" t="s">
        <v>662</v>
      </c>
      <c r="V60"/>
      <c r="W60"/>
      <c r="X60"/>
    </row>
    <row r="61" spans="1:24" ht="15" customHeight="1">
      <c r="A61" s="524" t="s">
        <v>618</v>
      </c>
      <c r="B61" s="526" t="s">
        <v>618</v>
      </c>
      <c r="C61" s="11">
        <v>1</v>
      </c>
      <c r="D61" s="461">
        <v>-1</v>
      </c>
      <c r="E61" s="382">
        <f>C61*D61*_WhAv/1000</f>
        <v>-2.2379498701692948</v>
      </c>
      <c r="F61">
        <f>E60*_KWturb</f>
        <v>0</v>
      </c>
      <c r="G61">
        <f>F61/2000</f>
        <v>0</v>
      </c>
      <c r="V61"/>
      <c r="W61"/>
      <c r="X61"/>
    </row>
    <row r="62" spans="1:24" ht="15" customHeight="1">
      <c r="B62" s="7" t="s">
        <v>75</v>
      </c>
      <c r="C62" s="7" t="s">
        <v>0</v>
      </c>
      <c r="D62" s="7" t="s">
        <v>6</v>
      </c>
      <c r="E62" s="178"/>
      <c r="F62" s="475" t="s">
        <v>226</v>
      </c>
      <c r="G62" s="475"/>
      <c r="H62" s="475"/>
      <c r="I62" s="475"/>
      <c r="J62" s="475"/>
      <c r="K62"/>
      <c r="V62"/>
    </row>
    <row r="63" spans="1:24" ht="15" customHeight="1">
      <c r="B63" t="s">
        <v>220</v>
      </c>
      <c r="C63" t="s">
        <v>219</v>
      </c>
      <c r="D63" s="344">
        <v>2000</v>
      </c>
      <c r="E63" s="6"/>
      <c r="F63" s="6" t="s">
        <v>98</v>
      </c>
      <c r="G63" s="6" t="s">
        <v>99</v>
      </c>
      <c r="I63" s="8" t="s">
        <v>85</v>
      </c>
      <c r="J63" s="8" t="s">
        <v>100</v>
      </c>
      <c r="K63"/>
    </row>
    <row r="64" spans="1:24" s="8" customFormat="1" ht="13.5" customHeight="1">
      <c r="B64" s="172" t="s">
        <v>13</v>
      </c>
      <c r="C64" t="s">
        <v>14</v>
      </c>
      <c r="D64" s="345">
        <v>50</v>
      </c>
      <c r="E64" s="6"/>
      <c r="F64" s="58">
        <v>1</v>
      </c>
      <c r="G64" s="173">
        <v>3.41</v>
      </c>
      <c r="H64"/>
      <c r="I64" s="6">
        <v>1</v>
      </c>
      <c r="J64" s="173">
        <v>3.41</v>
      </c>
      <c r="K64"/>
      <c r="L64"/>
      <c r="M64"/>
      <c r="O64" s="6" t="s">
        <v>336</v>
      </c>
      <c r="P64" t="s">
        <v>351</v>
      </c>
      <c r="Q64" t="s">
        <v>354</v>
      </c>
      <c r="R64" t="s">
        <v>352</v>
      </c>
      <c r="S64" s="46" t="s">
        <v>353</v>
      </c>
      <c r="T64"/>
    </row>
    <row r="65" spans="2:20">
      <c r="B65" s="172" t="s">
        <v>287</v>
      </c>
      <c r="C65" t="s">
        <v>219</v>
      </c>
      <c r="D65" s="4">
        <f>D64*D63</f>
        <v>100000</v>
      </c>
      <c r="E65" s="6"/>
      <c r="F65" s="6"/>
      <c r="J65"/>
      <c r="K65"/>
      <c r="L65" s="6"/>
      <c r="M65" s="419"/>
      <c r="O65" s="6">
        <v>0</v>
      </c>
      <c r="P65" s="35" t="s">
        <v>79</v>
      </c>
      <c r="Q65" s="46"/>
      <c r="R65" s="46">
        <v>0</v>
      </c>
      <c r="S65" s="46">
        <v>10</v>
      </c>
    </row>
    <row r="66" spans="2:20" ht="15.75">
      <c r="B66" s="172" t="s">
        <v>288</v>
      </c>
      <c r="C66" t="s">
        <v>227</v>
      </c>
      <c r="D66" s="4">
        <f>'[1]JEDI Project data'!B16</f>
        <v>100</v>
      </c>
      <c r="E66" s="8"/>
      <c r="F66" s="475" t="s">
        <v>97</v>
      </c>
      <c r="G66" s="475"/>
      <c r="H66" s="475"/>
      <c r="I66" s="475"/>
      <c r="J66" s="475"/>
      <c r="K66" s="8"/>
      <c r="O66" s="6"/>
      <c r="P66" s="35"/>
      <c r="Q66" s="46"/>
      <c r="R66" s="46"/>
      <c r="S66" s="46"/>
    </row>
    <row r="67" spans="2:20" ht="20.25" customHeight="1">
      <c r="B67" t="s">
        <v>47</v>
      </c>
      <c r="C67" t="s">
        <v>48</v>
      </c>
      <c r="D67" s="14">
        <f>'LCA Vestas Onshore 2.0MW'!C9</f>
        <v>0.32157534246575342</v>
      </c>
      <c r="E67" s="474" t="s">
        <v>231</v>
      </c>
      <c r="F67" s="474"/>
      <c r="G67" s="474" t="s">
        <v>234</v>
      </c>
      <c r="H67" s="474"/>
      <c r="I67" s="474" t="s">
        <v>323</v>
      </c>
      <c r="J67" s="474"/>
      <c r="K67" s="474" t="s">
        <v>343</v>
      </c>
      <c r="L67" s="474"/>
      <c r="M67" s="419"/>
      <c r="O67" s="6"/>
      <c r="P67" s="35"/>
      <c r="Q67" s="46"/>
      <c r="R67" s="46"/>
      <c r="S67" s="46"/>
    </row>
    <row r="68" spans="2:20" ht="21" customHeight="1">
      <c r="B68" t="s">
        <v>221</v>
      </c>
      <c r="C68" t="s">
        <v>48</v>
      </c>
      <c r="D68" s="25">
        <v>0</v>
      </c>
      <c r="E68" s="473" t="s">
        <v>320</v>
      </c>
      <c r="F68" s="473"/>
      <c r="G68" s="473" t="s">
        <v>319</v>
      </c>
      <c r="H68" s="473"/>
      <c r="I68" s="473" t="s">
        <v>321</v>
      </c>
      <c r="J68" s="473"/>
      <c r="K68" s="363" t="s">
        <v>344</v>
      </c>
      <c r="L68" s="177">
        <f>J98</f>
        <v>635077.05080616008</v>
      </c>
      <c r="M68" s="177"/>
      <c r="O68" s="6">
        <v>1</v>
      </c>
      <c r="P68" s="35" t="s">
        <v>82</v>
      </c>
      <c r="Q68" s="46"/>
      <c r="R68" s="46">
        <v>20</v>
      </c>
      <c r="S68" s="46">
        <v>20</v>
      </c>
    </row>
    <row r="69" spans="2:20">
      <c r="B69" t="s">
        <v>39</v>
      </c>
      <c r="C69" t="s">
        <v>340</v>
      </c>
      <c r="D69" s="344">
        <f>D63*D67*24*365</f>
        <v>5633999.9999999991</v>
      </c>
      <c r="E69" s="46" t="s">
        <v>318</v>
      </c>
      <c r="F69" s="302">
        <f>E81</f>
        <v>7631.4090572772957</v>
      </c>
      <c r="G69" s="46" t="s">
        <v>319</v>
      </c>
      <c r="H69" s="151">
        <f>F69/J64</f>
        <v>2237.9498701692946</v>
      </c>
      <c r="I69" s="46" t="s">
        <v>291</v>
      </c>
      <c r="J69" s="286">
        <v>9.7000000000000003E-2</v>
      </c>
      <c r="K69" s="46" t="s">
        <v>345</v>
      </c>
      <c r="L69" s="177">
        <f>D42</f>
        <v>1522.8560218957457</v>
      </c>
      <c r="M69" s="177"/>
      <c r="O69" s="6"/>
      <c r="P69" s="35"/>
      <c r="Q69" s="46"/>
      <c r="R69" s="46"/>
      <c r="S69" s="46"/>
    </row>
    <row r="70" spans="2:20">
      <c r="C70"/>
      <c r="D70"/>
      <c r="E70" s="46" t="s">
        <v>233</v>
      </c>
      <c r="F70" s="173">
        <f>1/F69*1000</f>
        <v>0.13103739984248416</v>
      </c>
      <c r="G70" s="46" t="s">
        <v>230</v>
      </c>
      <c r="H70" s="173">
        <f>1000/_WhAv</f>
        <v>0.44683753346287103</v>
      </c>
      <c r="I70" s="46" t="s">
        <v>317</v>
      </c>
      <c r="J70" s="151">
        <f>1000/J69</f>
        <v>10309.278350515464</v>
      </c>
      <c r="K70" s="174" t="s">
        <v>347</v>
      </c>
      <c r="L70" s="173">
        <f>1000*L68/L69</f>
        <v>417030.26528770378</v>
      </c>
      <c r="M70" s="173"/>
      <c r="O70" s="6">
        <v>2</v>
      </c>
      <c r="P70" s="35"/>
      <c r="Q70" s="46"/>
      <c r="R70" s="46">
        <v>50</v>
      </c>
      <c r="S70" s="46">
        <v>10</v>
      </c>
    </row>
    <row r="71" spans="2:20">
      <c r="B71" s="321" t="s">
        <v>229</v>
      </c>
      <c r="C71" s="321" t="s">
        <v>38</v>
      </c>
      <c r="D71" s="348">
        <v>100</v>
      </c>
      <c r="E71" s="46" t="s">
        <v>290</v>
      </c>
      <c r="F71" s="285">
        <v>1</v>
      </c>
      <c r="G71" s="46" t="s">
        <v>290</v>
      </c>
      <c r="H71" s="285">
        <f>F71</f>
        <v>1</v>
      </c>
      <c r="I71" s="46" t="s">
        <v>290</v>
      </c>
      <c r="J71" s="343">
        <f>J70/H69</f>
        <v>4.6065725099265054</v>
      </c>
      <c r="K71" s="46" t="s">
        <v>290</v>
      </c>
      <c r="L71" s="343">
        <f>L70/_WhAv</f>
        <v>186.3447751205243</v>
      </c>
      <c r="M71" s="343"/>
      <c r="O71" s="6"/>
      <c r="P71" s="35"/>
      <c r="Q71" s="46"/>
      <c r="R71" s="46"/>
      <c r="S71" s="46"/>
    </row>
    <row r="72" spans="2:20">
      <c r="B72" s="325" t="s">
        <v>37</v>
      </c>
      <c r="C72" s="325" t="s">
        <v>38</v>
      </c>
      <c r="D72" s="326">
        <v>45</v>
      </c>
      <c r="E72" s="6"/>
      <c r="F72" s="6"/>
      <c r="I72" s="6"/>
      <c r="J72"/>
      <c r="K72" s="10"/>
      <c r="L72" s="10"/>
      <c r="M72" s="10"/>
      <c r="O72" s="6"/>
      <c r="P72" s="35"/>
      <c r="Q72" s="46"/>
      <c r="R72" s="46"/>
      <c r="S72" s="46"/>
    </row>
    <row r="73" spans="2:20">
      <c r="B73" s="327" t="s">
        <v>249</v>
      </c>
      <c r="C73" s="325" t="s">
        <v>250</v>
      </c>
      <c r="D73" s="328">
        <v>9919</v>
      </c>
      <c r="E73" s="35"/>
      <c r="F73" s="35"/>
      <c r="G73" s="35"/>
      <c r="H73" s="35"/>
      <c r="I73" s="35"/>
      <c r="O73" s="6"/>
      <c r="P73" s="35"/>
      <c r="Q73" s="46"/>
      <c r="R73" s="46"/>
      <c r="S73" s="46"/>
    </row>
    <row r="74" spans="2:20">
      <c r="B74" s="327" t="s">
        <v>251</v>
      </c>
      <c r="C74" s="325" t="s">
        <v>248</v>
      </c>
      <c r="D74" s="328">
        <f>D73*1000/D72</f>
        <v>220422.22222222222</v>
      </c>
      <c r="E74" s="35"/>
      <c r="F74" s="35"/>
      <c r="G74" s="35"/>
      <c r="H74" s="35"/>
      <c r="I74" s="35"/>
      <c r="O74" s="6">
        <v>3</v>
      </c>
      <c r="P74" s="35" t="s">
        <v>78</v>
      </c>
      <c r="Q74" s="46"/>
      <c r="R74" s="46">
        <v>67</v>
      </c>
      <c r="S74" s="46">
        <v>8</v>
      </c>
    </row>
    <row r="75" spans="2:20" s="10" customFormat="1" ht="12.75" customHeight="1">
      <c r="B75" s="327" t="s">
        <v>252</v>
      </c>
      <c r="C75" s="325" t="s">
        <v>248</v>
      </c>
      <c r="D75" s="328">
        <f>3409511/D72</f>
        <v>75766.911111111112</v>
      </c>
      <c r="O75" s="6">
        <v>4</v>
      </c>
      <c r="P75" s="35"/>
      <c r="Q75" s="46"/>
      <c r="R75" s="46">
        <v>67</v>
      </c>
      <c r="S75" s="46">
        <v>8</v>
      </c>
      <c r="T75"/>
    </row>
    <row r="76" spans="2:20" s="10" customFormat="1">
      <c r="B76" s="327" t="s">
        <v>228</v>
      </c>
      <c r="C76" s="325" t="s">
        <v>86</v>
      </c>
      <c r="D76" s="326">
        <f>D69*D72</f>
        <v>253529999.99999997</v>
      </c>
      <c r="E76" s="362">
        <v>472.4</v>
      </c>
      <c r="F76" s="19" t="s">
        <v>362</v>
      </c>
      <c r="O76" s="6">
        <v>5</v>
      </c>
      <c r="P76" s="35"/>
      <c r="Q76" s="46"/>
      <c r="R76" s="46">
        <v>67</v>
      </c>
      <c r="S76" s="46">
        <v>8</v>
      </c>
      <c r="T76"/>
    </row>
    <row r="77" spans="2:20" s="361" customFormat="1">
      <c r="B77" s="327" t="s">
        <v>160</v>
      </c>
      <c r="C77" s="360"/>
      <c r="D77" s="393">
        <f>D76*D64</f>
        <v>12676499999.999998</v>
      </c>
      <c r="E77" s="162">
        <v>47014</v>
      </c>
      <c r="F77" s="19" t="s">
        <v>364</v>
      </c>
      <c r="O77" s="19">
        <v>6</v>
      </c>
      <c r="P77" s="19"/>
      <c r="Q77" s="19"/>
      <c r="R77" s="19">
        <v>67</v>
      </c>
      <c r="S77" s="19">
        <v>8</v>
      </c>
      <c r="T77" s="19"/>
    </row>
    <row r="78" spans="2:20" s="10" customFormat="1" ht="15" customHeight="1">
      <c r="E78" s="162">
        <v>59939</v>
      </c>
      <c r="F78" s="19" t="s">
        <v>367</v>
      </c>
      <c r="O78" s="6">
        <v>7</v>
      </c>
      <c r="P78" s="35"/>
      <c r="Q78" s="46"/>
      <c r="R78" s="46">
        <v>67</v>
      </c>
      <c r="S78" s="46">
        <v>8</v>
      </c>
      <c r="T78"/>
    </row>
    <row r="79" spans="2:20" ht="15" customHeight="1">
      <c r="B79" t="s">
        <v>601</v>
      </c>
      <c r="C79" s="11" t="s">
        <v>291</v>
      </c>
      <c r="D79" s="11">
        <v>2.1000000000000001E-2</v>
      </c>
      <c r="E79">
        <f>0.916/0.946</f>
        <v>0.9682875264270614</v>
      </c>
      <c r="F79" t="s">
        <v>363</v>
      </c>
      <c r="H79" s="35"/>
      <c r="I79" s="35"/>
      <c r="O79" s="6">
        <v>8</v>
      </c>
      <c r="P79" s="35"/>
      <c r="Q79" s="46"/>
      <c r="R79" s="46">
        <v>67</v>
      </c>
      <c r="S79" s="46">
        <v>8</v>
      </c>
    </row>
    <row r="80" spans="2:20" ht="15.75" customHeight="1">
      <c r="B80" s="327" t="s">
        <v>602</v>
      </c>
      <c r="C80" s="11" t="s">
        <v>11</v>
      </c>
      <c r="D80" s="11">
        <v>10</v>
      </c>
      <c r="E80" s="362">
        <f>E76*1000000000000000/(E77*1000000000)*E79</f>
        <v>9729.4216081197901</v>
      </c>
      <c r="F80" s="35" t="s">
        <v>365</v>
      </c>
      <c r="G80" s="35"/>
      <c r="H80" s="35"/>
      <c r="I80" s="35"/>
      <c r="O80" s="6">
        <v>9</v>
      </c>
      <c r="P80" s="35"/>
      <c r="Q80" s="46"/>
      <c r="R80" s="46">
        <v>67</v>
      </c>
      <c r="S80" s="46">
        <v>8</v>
      </c>
    </row>
    <row r="81" spans="2:23">
      <c r="B81" s="7"/>
      <c r="C81" s="19"/>
      <c r="E81" s="362">
        <f>E76*1000000000000000/(E78*1000000000)*E79</f>
        <v>7631.4090572772957</v>
      </c>
      <c r="F81" s="35" t="s">
        <v>366</v>
      </c>
      <c r="G81" s="6"/>
      <c r="J81" s="19" t="s">
        <v>326</v>
      </c>
      <c r="K81"/>
      <c r="O81" s="6">
        <v>10</v>
      </c>
      <c r="P81" s="35"/>
      <c r="Q81" s="46"/>
      <c r="R81" s="46">
        <v>67</v>
      </c>
      <c r="S81" s="46">
        <v>8</v>
      </c>
    </row>
    <row r="82" spans="2:23">
      <c r="E82" s="386" t="s">
        <v>395</v>
      </c>
      <c r="F82" s="386"/>
      <c r="G82" s="389"/>
      <c r="H82" s="386"/>
      <c r="I82" s="386"/>
      <c r="J82" s="386"/>
      <c r="K82" s="386"/>
      <c r="L82" s="386"/>
      <c r="M82" s="386"/>
      <c r="N82" s="386"/>
      <c r="O82" s="6">
        <v>11</v>
      </c>
      <c r="P82" s="35"/>
      <c r="Q82" s="46"/>
      <c r="R82" s="46">
        <v>67</v>
      </c>
      <c r="S82" s="46">
        <v>8</v>
      </c>
    </row>
    <row r="83" spans="2:23">
      <c r="E83" s="390">
        <f>(E81-6660)/E81</f>
        <v>0.12729091704905557</v>
      </c>
      <c r="F83" s="386" t="s">
        <v>396</v>
      </c>
      <c r="G83" s="386"/>
      <c r="H83" s="386"/>
      <c r="I83" s="384"/>
      <c r="J83" s="390">
        <f>(490-E76)/490</f>
        <v>3.5918367346938825E-2</v>
      </c>
      <c r="K83" s="386" t="s">
        <v>393</v>
      </c>
      <c r="L83" s="384"/>
      <c r="M83" s="384"/>
      <c r="N83" s="386"/>
      <c r="O83" s="391"/>
      <c r="P83" s="392"/>
      <c r="Q83" s="46"/>
      <c r="R83" s="46"/>
      <c r="S83" s="46"/>
    </row>
    <row r="84" spans="2:23">
      <c r="B84" s="350"/>
      <c r="C84"/>
      <c r="E84" s="394" t="s">
        <v>394</v>
      </c>
      <c r="F84" s="384"/>
      <c r="G84" s="384"/>
      <c r="H84" s="384"/>
      <c r="I84" s="384"/>
      <c r="J84" s="384"/>
      <c r="K84" s="385"/>
      <c r="L84" s="385"/>
      <c r="M84" s="385"/>
      <c r="N84" s="384"/>
      <c r="O84" s="6">
        <v>12</v>
      </c>
      <c r="P84" s="35"/>
      <c r="Q84" s="46"/>
      <c r="R84" s="46">
        <v>67</v>
      </c>
      <c r="S84" s="46">
        <v>8</v>
      </c>
    </row>
    <row r="85" spans="2:23" s="6" customFormat="1">
      <c r="B85" s="395"/>
      <c r="C85" s="283"/>
      <c r="D85" s="332"/>
      <c r="E85" s="394" t="s">
        <v>397</v>
      </c>
      <c r="F85" s="389"/>
      <c r="G85" s="389"/>
      <c r="H85" s="389"/>
      <c r="I85" s="389"/>
      <c r="J85" s="389"/>
      <c r="K85" s="389"/>
      <c r="L85" s="389"/>
      <c r="M85" s="389"/>
      <c r="N85" s="389"/>
      <c r="O85" s="6">
        <v>13</v>
      </c>
      <c r="P85" s="35"/>
      <c r="Q85" s="46"/>
      <c r="R85" s="46">
        <v>67</v>
      </c>
      <c r="S85" s="46">
        <v>8</v>
      </c>
      <c r="T85"/>
    </row>
    <row r="86" spans="2:23">
      <c r="B86" s="396"/>
      <c r="C86" s="375"/>
      <c r="D86" s="375"/>
      <c r="E86" s="332"/>
      <c r="F86" s="332"/>
      <c r="G86" s="332"/>
      <c r="H86" s="283"/>
      <c r="I86" s="283"/>
      <c r="J86" s="283"/>
      <c r="K86" s="283"/>
      <c r="L86" s="283"/>
      <c r="M86" s="283"/>
      <c r="O86" s="6">
        <v>14</v>
      </c>
      <c r="P86" s="35"/>
      <c r="Q86" s="46"/>
      <c r="R86" s="46">
        <v>67</v>
      </c>
      <c r="S86" s="46">
        <v>8</v>
      </c>
      <c r="V86"/>
      <c r="W86"/>
    </row>
    <row r="87" spans="2:23">
      <c r="B87" s="7" t="s">
        <v>325</v>
      </c>
      <c r="C87" s="19" t="s">
        <v>326</v>
      </c>
      <c r="E87" s="6"/>
      <c r="F87" s="6"/>
      <c r="G87" s="6"/>
      <c r="J87"/>
      <c r="K87"/>
      <c r="O87" s="6">
        <v>15</v>
      </c>
      <c r="P87" s="35"/>
      <c r="Q87" s="46"/>
      <c r="R87" s="46">
        <v>67</v>
      </c>
      <c r="S87" s="46">
        <v>8</v>
      </c>
    </row>
    <row r="88" spans="2:23">
      <c r="B88" t="s">
        <v>348</v>
      </c>
      <c r="G88" s="6"/>
      <c r="J88"/>
      <c r="K88"/>
      <c r="O88" s="6">
        <v>16</v>
      </c>
      <c r="P88" s="35" t="s">
        <v>81</v>
      </c>
      <c r="Q88" s="46"/>
      <c r="R88" s="46">
        <v>67</v>
      </c>
      <c r="S88" s="46">
        <v>10</v>
      </c>
    </row>
    <row r="89" spans="2:23" ht="48.75">
      <c r="B89" s="350" t="str">
        <f>[2]EconomicValueEnergy!A4</f>
        <v>Energy Consumption Related to Developing Facility</v>
      </c>
      <c r="C89"/>
      <c r="D89"/>
      <c r="E89" s="317" t="str">
        <f>[2]EconomicValueEnergy!B4</f>
        <v>Units</v>
      </c>
      <c r="F89" s="317" t="str">
        <f>[2]EconomicValueEnergy!C4</f>
        <v>Total Vestas LCA Values</v>
      </c>
      <c r="G89" s="318" t="str">
        <f>[2]EconomicValueEnergy!D4</f>
        <v>Fossil or Renewable</v>
      </c>
      <c r="H89" s="318" t="str">
        <f>[2]EconomicValueEnergy!E4</f>
        <v>Toal Consumption in MJ per Turbine</v>
      </c>
      <c r="I89" s="318" t="str">
        <f>[2]EconomicValueEnergy!F4</f>
        <v>Total Consumption in Million Btu per Turbine</v>
      </c>
      <c r="J89" s="318" t="str">
        <f>[2]EconomicValueEnergy!G4</f>
        <v>Total Consumption in kWh per Turbine</v>
      </c>
      <c r="K89" s="318" t="str">
        <f>[2]EconomicValueEnergy!H4</f>
        <v>Market Price in $/MillionBtu (1)</v>
      </c>
      <c r="L89" s="319" t="str">
        <f>[2]EconomicValueEnergy!I4</f>
        <v>Market Value of Energy Input per Turbine</v>
      </c>
      <c r="M89" s="319"/>
      <c r="O89" s="6">
        <v>17</v>
      </c>
      <c r="P89" s="35" t="s">
        <v>241</v>
      </c>
      <c r="Q89" s="46"/>
      <c r="R89" s="46">
        <v>67</v>
      </c>
      <c r="S89" s="46">
        <v>10</v>
      </c>
    </row>
    <row r="90" spans="2:23">
      <c r="B90" s="350" t="str">
        <f>[2]EconomicValueEnergy!A5</f>
        <v>Hard coal</v>
      </c>
      <c r="C90"/>
      <c r="D90"/>
      <c r="E90" s="308" t="str">
        <f>[2]EconomicValueEnergy!B5</f>
        <v>MJ/kWh</v>
      </c>
      <c r="F90" s="308">
        <f>[2]EconomicValueEnergy!C5</f>
        <v>1.966E-2</v>
      </c>
      <c r="G90" s="308" t="str">
        <f>[2]EconomicValueEnergy!D5</f>
        <v>Fossil</v>
      </c>
      <c r="H90" s="308">
        <f>[2]EconomicValueEnergy!E5</f>
        <v>2215288.7999999998</v>
      </c>
      <c r="I90" s="308">
        <f>[2]EconomicValueEnergy!F5</f>
        <v>2099.7998104265403</v>
      </c>
      <c r="J90" s="308">
        <f>[2]EconomicValueEnergy!G5</f>
        <v>615358.04922864004</v>
      </c>
      <c r="K90" s="308">
        <f>[2]EconomicValueEnergy!H5</f>
        <v>2.4700000000000002</v>
      </c>
      <c r="L90" s="311">
        <f>[2]EconomicValueEnergy!I5</f>
        <v>5186.5055317535553</v>
      </c>
      <c r="M90" s="311"/>
      <c r="O90" s="6">
        <v>18</v>
      </c>
      <c r="P90" s="35" t="s">
        <v>242</v>
      </c>
      <c r="Q90" s="46"/>
      <c r="R90" s="46">
        <v>67</v>
      </c>
      <c r="S90" s="46">
        <v>10</v>
      </c>
    </row>
    <row r="91" spans="2:23" s="6" customFormat="1">
      <c r="B91" s="351" t="str">
        <f>[2]EconomicValueEnergy!A6</f>
        <v>Crude oil</v>
      </c>
      <c r="C91"/>
      <c r="D91"/>
      <c r="E91" s="309" t="str">
        <f>[2]EconomicValueEnergy!B6</f>
        <v>MJ/kWh</v>
      </c>
      <c r="F91" s="309">
        <f>[2]EconomicValueEnergy!C6</f>
        <v>5.3570000000000007E-2</v>
      </c>
      <c r="G91" s="310" t="str">
        <f>[2]EconomicValueEnergy!D6</f>
        <v>Fossil</v>
      </c>
      <c r="H91" s="310">
        <f>[2]EconomicValueEnergy!E6</f>
        <v>6036267.6000000015</v>
      </c>
      <c r="I91" s="310">
        <f>[2]EconomicValueEnergy!F6</f>
        <v>5721.5806635071103</v>
      </c>
      <c r="J91" s="310">
        <f>[2]EconomicValueEnergy!G6</f>
        <v>1676741.1341392805</v>
      </c>
      <c r="K91" s="310">
        <f>[2]EconomicValueEnergy!H6</f>
        <v>12.9</v>
      </c>
      <c r="L91" s="311">
        <f>[2]EconomicValueEnergy!I6</f>
        <v>73808.390559241729</v>
      </c>
      <c r="M91" s="311"/>
      <c r="O91" s="6">
        <v>19</v>
      </c>
      <c r="P91" s="35"/>
      <c r="Q91" s="46"/>
      <c r="R91" s="46">
        <v>67</v>
      </c>
      <c r="S91" s="46">
        <v>8</v>
      </c>
      <c r="T91"/>
    </row>
    <row r="92" spans="2:23">
      <c r="B92" s="352" t="str">
        <f>[2]EconomicValueEnergy!A7</f>
        <v>Lignite (brown coal)</v>
      </c>
      <c r="C92"/>
      <c r="D92"/>
      <c r="E92" s="313" t="str">
        <f>[2]EconomicValueEnergy!B7</f>
        <v>MJ/kWh</v>
      </c>
      <c r="F92" s="313">
        <f>[2]EconomicValueEnergy!C7</f>
        <v>3.9500000228000001E-3</v>
      </c>
      <c r="G92" s="312" t="str">
        <f>[2]EconomicValueEnergy!D7</f>
        <v>Fossil</v>
      </c>
      <c r="H92" s="312">
        <f>[2]EconomicValueEnergy!E7</f>
        <v>445086.00256910402</v>
      </c>
      <c r="I92" s="312">
        <f>[2]EconomicValueEnergy!F7</f>
        <v>421.88246689014596</v>
      </c>
      <c r="J92" s="312">
        <f>[2]EconomicValueEnergy!G7</f>
        <v>123635.01060444007</v>
      </c>
      <c r="K92" s="312">
        <f>[2]EconomicValueEnergy!H7</f>
        <v>2</v>
      </c>
      <c r="L92" s="311">
        <f>[2]EconomicValueEnergy!I7</f>
        <v>843.76493378029193</v>
      </c>
      <c r="M92" s="311"/>
      <c r="O92" s="6">
        <v>20</v>
      </c>
      <c r="P92" s="35"/>
      <c r="Q92" s="46"/>
      <c r="R92" s="46">
        <v>67</v>
      </c>
      <c r="S92" s="46">
        <v>8</v>
      </c>
    </row>
    <row r="93" spans="2:23">
      <c r="B93" s="311" t="str">
        <f>[2]EconomicValueEnergy!A8</f>
        <v>Natural Gas</v>
      </c>
      <c r="C93"/>
      <c r="D93"/>
      <c r="E93" s="311" t="str">
        <f>[2]EconomicValueEnergy!B8</f>
        <v>MJ/kWh</v>
      </c>
      <c r="F93" s="311">
        <f>[2]EconomicValueEnergy!C8</f>
        <v>1.436E-2</v>
      </c>
      <c r="G93" s="311" t="str">
        <f>[2]EconomicValueEnergy!D8</f>
        <v>Fossil</v>
      </c>
      <c r="H93" s="311">
        <f>[2]EconomicValueEnergy!E8</f>
        <v>1618084.7999999998</v>
      </c>
      <c r="I93" s="311">
        <f>[2]EconomicValueEnergy!F8</f>
        <v>1533.7296682464453</v>
      </c>
      <c r="J93" s="311">
        <f>[2]EconomicValueEnergy!G8</f>
        <v>449468.03595743998</v>
      </c>
      <c r="K93" s="312">
        <f>[2]EconomicValueEnergy!H8</f>
        <v>6.55</v>
      </c>
      <c r="L93" s="311">
        <f>[2]EconomicValueEnergy!I8</f>
        <v>10045.929327014217</v>
      </c>
      <c r="M93" s="311"/>
    </row>
    <row r="94" spans="2:23">
      <c r="B94" s="352" t="str">
        <f>[2]EconomicValueEnergy!A9</f>
        <v>Nuclear Power</v>
      </c>
      <c r="C94"/>
      <c r="D94"/>
      <c r="E94" s="313" t="str">
        <f>[2]EconomicValueEnergy!B9</f>
        <v>MJ/kWh</v>
      </c>
      <c r="F94" s="313">
        <f>[2]EconomicValueEnergy!C9</f>
        <v>3.4800372000000001E-3</v>
      </c>
      <c r="G94" s="312" t="str">
        <f>[2]EconomicValueEnergy!D9</f>
        <v>Fossil</v>
      </c>
      <c r="H94" s="312">
        <f>[2]EconomicValueEnergy!E9</f>
        <v>392130.59169600008</v>
      </c>
      <c r="I94" s="312">
        <f>[2]EconomicValueEnergy!F9</f>
        <v>371.68776464075836</v>
      </c>
      <c r="J94" s="312">
        <f>[2]EconomicValueEnergy!G9</f>
        <v>108925.17307401318</v>
      </c>
      <c r="K94" s="311">
        <f>[2]EconomicValueEnergy!H9</f>
        <v>22.84</v>
      </c>
      <c r="L94" s="311">
        <f>[2]EconomicValueEnergy!I9</f>
        <v>8489.3485443949212</v>
      </c>
      <c r="M94" s="311"/>
    </row>
    <row r="95" spans="2:23">
      <c r="B95" s="316" t="str">
        <f>[2]EconomicValueEnergy!A10</f>
        <v>Straw</v>
      </c>
      <c r="C95"/>
      <c r="D95"/>
      <c r="E95" s="314" t="str">
        <f>[2]EconomicValueEnergy!B10</f>
        <v>MJ/kWh</v>
      </c>
      <c r="F95" s="314">
        <f>[2]EconomicValueEnergy!C10</f>
        <v>6.9999999999999996E-10</v>
      </c>
      <c r="G95" s="314" t="str">
        <f>[2]EconomicValueEnergy!D10</f>
        <v>Renewable</v>
      </c>
      <c r="H95" s="314">
        <f>[2]EconomicValueEnergy!E10</f>
        <v>7.8876000000000002E-2</v>
      </c>
      <c r="I95" s="314">
        <f>[2]EconomicValueEnergy!F10</f>
        <v>7.476398104265403E-5</v>
      </c>
      <c r="J95" s="314">
        <f>[2]EconomicValueEnergy!G10</f>
        <v>2.1910001752800001E-2</v>
      </c>
      <c r="K95" s="312">
        <f>[2]EconomicValueEnergy!H10</f>
        <v>1</v>
      </c>
      <c r="L95" s="311">
        <f>[2]EconomicValueEnergy!I10</f>
        <v>7.476398104265403E-5</v>
      </c>
      <c r="M95" s="311"/>
    </row>
    <row r="96" spans="2:23">
      <c r="B96" s="352" t="str">
        <f>[2]EconomicValueEnergy!A11</f>
        <v>Wood</v>
      </c>
      <c r="C96" s="10"/>
      <c r="D96" s="10"/>
      <c r="E96" s="313" t="str">
        <f>[2]EconomicValueEnergy!B11</f>
        <v>MJ/kWh</v>
      </c>
      <c r="F96" s="313">
        <f>[2]EconomicValueEnergy!C11</f>
        <v>5.8100000000000006E-10</v>
      </c>
      <c r="G96" s="312" t="str">
        <f>[2]EconomicValueEnergy!D11</f>
        <v>Renewable</v>
      </c>
      <c r="H96" s="312">
        <f>[2]EconomicValueEnergy!E11</f>
        <v>6.5467080000000011E-2</v>
      </c>
      <c r="I96" s="312">
        <f>[2]EconomicValueEnergy!F11</f>
        <v>6.2054104265402856E-5</v>
      </c>
      <c r="J96" s="315">
        <f>[2]EconomicValueEnergy!G11</f>
        <v>1.8185301454824006E-2</v>
      </c>
      <c r="K96" s="312">
        <f>[2]EconomicValueEnergy!H11</f>
        <v>1</v>
      </c>
      <c r="L96" s="311">
        <f>[2]EconomicValueEnergy!I11</f>
        <v>6.2054104265402856E-5</v>
      </c>
      <c r="M96" s="311"/>
    </row>
    <row r="97" spans="2:24">
      <c r="B97" s="352" t="str">
        <f>[2]EconomicValueEnergy!A12</f>
        <v>Other Biomass</v>
      </c>
      <c r="C97" s="10"/>
      <c r="D97" s="10"/>
      <c r="E97" s="313" t="str">
        <f>[2]EconomicValueEnergy!B12</f>
        <v>MJ/kWh</v>
      </c>
      <c r="F97" s="313">
        <f>[2]EconomicValueEnergy!C12</f>
        <v>5.1400004030000002E-4</v>
      </c>
      <c r="G97" s="312" t="str">
        <f>[2]EconomicValueEnergy!D12</f>
        <v>Renewable</v>
      </c>
      <c r="H97" s="312">
        <f>[2]EconomicValueEnergy!E12</f>
        <v>57917.524541004008</v>
      </c>
      <c r="I97" s="312">
        <f>[2]EconomicValueEnergy!F12</f>
        <v>54.898127527018019</v>
      </c>
      <c r="J97" s="315">
        <f>[2]EconomicValueEnergy!G12</f>
        <v>16088.202548446105</v>
      </c>
      <c r="K97" s="312">
        <f>[2]EconomicValueEnergy!H12</f>
        <v>1</v>
      </c>
      <c r="L97" s="311">
        <f>[2]EconomicValueEnergy!I12</f>
        <v>54.898127527018019</v>
      </c>
      <c r="M97" s="311"/>
    </row>
    <row r="98" spans="2:24">
      <c r="B98" s="352" t="str">
        <f>[2]EconomicValueEnergy!A13</f>
        <v>Primary energy from Hydropower</v>
      </c>
      <c r="C98" s="10"/>
      <c r="D98" s="10"/>
      <c r="E98" s="313" t="str">
        <f>[2]EconomicValueEnergy!B13</f>
        <v>MJ/kWh</v>
      </c>
      <c r="F98" s="313">
        <f>[2]EconomicValueEnergy!C13</f>
        <v>2.0290000000000002E-2</v>
      </c>
      <c r="G98" s="312" t="str">
        <f>[2]EconomicValueEnergy!D13</f>
        <v>Renewable</v>
      </c>
      <c r="H98" s="312">
        <f>[2]EconomicValueEnergy!E13</f>
        <v>2286277.2000000002</v>
      </c>
      <c r="I98" s="312">
        <f>[2]EconomicValueEnergy!F13</f>
        <v>2167.0873933649291</v>
      </c>
      <c r="J98" s="315">
        <f>[2]EconomicValueEnergy!G13</f>
        <v>635077.05080616008</v>
      </c>
      <c r="K98" s="312">
        <f>[2]EconomicValueEnergy!H13</f>
        <v>22.84</v>
      </c>
      <c r="L98" s="311">
        <f>[2]EconomicValueEnergy!I13</f>
        <v>49496.276064454978</v>
      </c>
      <c r="M98" s="311"/>
    </row>
    <row r="99" spans="2:24" s="9" customFormat="1">
      <c r="B99" s="352" t="str">
        <f>[2]EconomicValueEnergy!A14</f>
        <v>Primary energy from wind</v>
      </c>
      <c r="C99" s="10"/>
      <c r="D99" s="10"/>
      <c r="E99" s="313" t="str">
        <f>[2]EconomicValueEnergy!B14</f>
        <v>MJ/kWh</v>
      </c>
      <c r="F99" s="313">
        <f>[2]EconomicValueEnergy!C14</f>
        <v>3.3E-4</v>
      </c>
      <c r="G99" s="312" t="str">
        <f>[2]EconomicValueEnergy!D14</f>
        <v>Renewable</v>
      </c>
      <c r="H99" s="312">
        <f>[2]EconomicValueEnergy!E14</f>
        <v>37184.400000000001</v>
      </c>
      <c r="I99" s="312">
        <f>[2]EconomicValueEnergy!F14</f>
        <v>35.245876777251183</v>
      </c>
      <c r="J99" s="315">
        <f>[2]EconomicValueEnergy!G14</f>
        <v>10329.000826320002</v>
      </c>
      <c r="K99" s="312">
        <f>[2]EconomicValueEnergy!H14</f>
        <v>1</v>
      </c>
      <c r="L99" s="311">
        <f>[2]EconomicValueEnergy!I14</f>
        <v>35.245876777251183</v>
      </c>
      <c r="M99" s="311"/>
      <c r="S99"/>
      <c r="V99" s="11"/>
      <c r="W99" s="11"/>
      <c r="X99" s="11"/>
    </row>
    <row r="100" spans="2:24" ht="15" customHeight="1">
      <c r="B100" s="352" t="str">
        <f>[2]EconomicValueEnergy!A15</f>
        <v>Renewable Fuels</v>
      </c>
      <c r="C100"/>
      <c r="D100"/>
      <c r="E100" s="313" t="str">
        <f>[2]EconomicValueEnergy!B15</f>
        <v>MJ/kWh</v>
      </c>
      <c r="F100" s="313">
        <f>[2]EconomicValueEnergy!C15</f>
        <v>0</v>
      </c>
      <c r="G100" s="312" t="str">
        <f>[2]EconomicValueEnergy!D15</f>
        <v>Renewable</v>
      </c>
      <c r="H100" s="312">
        <f>[2]EconomicValueEnergy!E15</f>
        <v>0</v>
      </c>
      <c r="I100" s="312">
        <f>[2]EconomicValueEnergy!F15</f>
        <v>0</v>
      </c>
      <c r="J100" s="312">
        <f>[2]EconomicValueEnergy!G15</f>
        <v>0</v>
      </c>
      <c r="K100" s="311">
        <f>[2]EconomicValueEnergy!H15</f>
        <v>1</v>
      </c>
      <c r="L100" s="311">
        <f>[2]EconomicValueEnergy!I15</f>
        <v>0</v>
      </c>
      <c r="M100" s="311"/>
    </row>
    <row r="101" spans="2:24">
      <c r="B101" s="314">
        <f>[2]EconomicValueEnergy!A16</f>
        <v>0</v>
      </c>
      <c r="C101"/>
      <c r="D101"/>
      <c r="E101" s="314">
        <f>[2]EconomicValueEnergy!B16</f>
        <v>0</v>
      </c>
      <c r="F101" s="314">
        <f>[2]EconomicValueEnergy!C16</f>
        <v>0</v>
      </c>
      <c r="G101" s="316" t="str">
        <f>[2]EconomicValueEnergy!D16</f>
        <v>Totals:</v>
      </c>
      <c r="H101" s="316">
        <f>[2]EconomicValueEnergy!E16</f>
        <v>13088237.06314919</v>
      </c>
      <c r="I101" s="316">
        <f>[2]EconomicValueEnergy!F16</f>
        <v>12405.911908198283</v>
      </c>
      <c r="J101" s="311">
        <f>[2]EconomicValueEnergy!G16</f>
        <v>3635621.6972800433</v>
      </c>
      <c r="K101" s="315">
        <f>[2]EconomicValueEnergy!H16</f>
        <v>0</v>
      </c>
      <c r="L101" s="311">
        <f>[2]EconomicValueEnergy!I16</f>
        <v>147960.35910176206</v>
      </c>
      <c r="M101" s="311"/>
    </row>
    <row r="102" spans="2:24">
      <c r="C102"/>
      <c r="D102"/>
      <c r="E102" s="11"/>
      <c r="F102" s="11"/>
      <c r="J102" s="1"/>
      <c r="K102"/>
      <c r="L102" s="6"/>
      <c r="M102" s="419"/>
    </row>
    <row r="103" spans="2:24">
      <c r="B103" t="s">
        <v>346</v>
      </c>
      <c r="C103"/>
      <c r="D103"/>
      <c r="E103" s="11"/>
      <c r="F103" s="11"/>
      <c r="J103" s="323">
        <f>J101/D63</f>
        <v>1817.8108486400217</v>
      </c>
      <c r="K103"/>
      <c r="L103" s="6"/>
      <c r="M103" s="419"/>
    </row>
    <row r="104" spans="2:24">
      <c r="B104" t="s">
        <v>327</v>
      </c>
      <c r="C104"/>
      <c r="D104"/>
      <c r="E104" s="11"/>
      <c r="F104" s="11"/>
      <c r="J104" s="1"/>
      <c r="K104"/>
      <c r="L104" s="286">
        <f>L101/D63</f>
        <v>73.980179550881033</v>
      </c>
      <c r="M104" s="286"/>
    </row>
    <row r="105" spans="2:24">
      <c r="B105" t="s">
        <v>328</v>
      </c>
      <c r="C105" s="6"/>
      <c r="D105" s="6"/>
      <c r="E105" s="11">
        <f>1/K91</f>
        <v>7.7519379844961239E-2</v>
      </c>
      <c r="F105" s="11" t="s">
        <v>329</v>
      </c>
      <c r="G105">
        <f>10^6*E105/G64</f>
        <v>22732.95596626429</v>
      </c>
      <c r="H105" t="s">
        <v>232</v>
      </c>
      <c r="I105" s="322">
        <f>G105/_WhAv</f>
        <v>10.157937972285593</v>
      </c>
      <c r="J105" s="1" t="s">
        <v>330</v>
      </c>
      <c r="K105"/>
      <c r="L105" s="173"/>
      <c r="M105" s="173"/>
    </row>
    <row r="117" spans="2:18">
      <c r="J117" s="285"/>
      <c r="P117" s="6"/>
      <c r="Q117" s="13"/>
      <c r="R117" s="16"/>
    </row>
    <row r="118" spans="2:18">
      <c r="H118" s="1"/>
      <c r="P118" s="6"/>
      <c r="Q118" s="13"/>
      <c r="R118" s="16"/>
    </row>
    <row r="119" spans="2:18">
      <c r="H119" s="1"/>
      <c r="P119" s="6"/>
      <c r="Q119" s="13"/>
      <c r="R119" s="16"/>
    </row>
    <row r="120" spans="2:18">
      <c r="B120" s="2"/>
      <c r="C120" s="162"/>
      <c r="D120" s="162"/>
      <c r="H120" s="12"/>
      <c r="P120" s="6"/>
      <c r="Q120" s="13"/>
      <c r="R120" s="16"/>
    </row>
    <row r="121" spans="2:18">
      <c r="B121" s="2"/>
      <c r="C121" s="162"/>
      <c r="D121" s="162"/>
      <c r="H121" s="12"/>
      <c r="P121" s="6"/>
      <c r="Q121" s="13"/>
      <c r="R121" s="16"/>
    </row>
    <row r="122" spans="2:18">
      <c r="K122" s="13"/>
      <c r="P122" s="6"/>
      <c r="Q122" s="13"/>
      <c r="R122" s="16"/>
    </row>
    <row r="123" spans="2:18">
      <c r="K123" s="13"/>
      <c r="P123" s="5"/>
      <c r="Q123" s="17"/>
      <c r="R123" s="17"/>
    </row>
    <row r="124" spans="2:18">
      <c r="K124" s="1"/>
      <c r="P124" s="5"/>
      <c r="Q124" s="13"/>
      <c r="R124" s="6"/>
    </row>
    <row r="125" spans="2:18">
      <c r="B125" s="46"/>
      <c r="K125" s="14"/>
      <c r="L125" s="1"/>
      <c r="M125" s="1"/>
      <c r="N125" s="1"/>
    </row>
    <row r="126" spans="2:18">
      <c r="B126" s="46"/>
      <c r="K126"/>
    </row>
  </sheetData>
  <mergeCells count="15">
    <mergeCell ref="E19:F20"/>
    <mergeCell ref="K67:L67"/>
    <mergeCell ref="G6:L6"/>
    <mergeCell ref="C2:K3"/>
    <mergeCell ref="I67:J67"/>
    <mergeCell ref="G8:L8"/>
    <mergeCell ref="G20:L20"/>
    <mergeCell ref="E7:F8"/>
    <mergeCell ref="G68:H68"/>
    <mergeCell ref="G67:H67"/>
    <mergeCell ref="F62:J62"/>
    <mergeCell ref="E67:F67"/>
    <mergeCell ref="F66:J66"/>
    <mergeCell ref="E68:F68"/>
    <mergeCell ref="I68:J68"/>
  </mergeCells>
  <phoneticPr fontId="45" type="noConversion"/>
  <pageMargins left="0.7" right="0.7" top="0.75" bottom="0.75" header="0.3" footer="0.3"/>
  <pageSetup scale="41" orientation="portrait" r:id="rId1"/>
  <colBreaks count="2" manualBreakCount="2">
    <brk id="13" max="122" man="1"/>
    <brk id="30" min="1" max="108" man="1"/>
  </colBreaks>
  <drawing r:id="rId2"/>
  <legacyDrawing r:id="rId3"/>
</worksheet>
</file>

<file path=xl/worksheets/sheet2.xml><?xml version="1.0" encoding="utf-8"?>
<worksheet xmlns="http://schemas.openxmlformats.org/spreadsheetml/2006/main" xmlns:r="http://schemas.openxmlformats.org/officeDocument/2006/relationships">
  <sheetPr codeName="Sheet5"/>
  <dimension ref="A1:AV72"/>
  <sheetViews>
    <sheetView zoomScale="85" zoomScaleNormal="85" workbookViewId="0">
      <selection activeCell="AI56" sqref="AI56"/>
    </sheetView>
  </sheetViews>
  <sheetFormatPr defaultRowHeight="15"/>
  <cols>
    <col min="1" max="1" width="6.5703125" style="6" customWidth="1"/>
    <col min="2" max="2" width="7.42578125" style="6" customWidth="1"/>
    <col min="3" max="5" width="15.7109375" style="18" customWidth="1"/>
    <col min="6" max="6" width="15.7109375" style="6" customWidth="1"/>
    <col min="7" max="7" width="3.85546875" style="6" customWidth="1"/>
    <col min="8" max="8" width="7.140625" customWidth="1"/>
    <col min="9" max="11" width="15.7109375" customWidth="1"/>
    <col min="12" max="12" width="15.7109375" style="6" customWidth="1"/>
    <col min="13" max="13" width="3.85546875" style="6" customWidth="1"/>
    <col min="14" max="14" width="7.140625" customWidth="1"/>
    <col min="15" max="17" width="15.7109375" customWidth="1"/>
    <col min="18" max="18" width="15.7109375" style="6" customWidth="1"/>
    <col min="19" max="19" width="3.7109375" style="15" customWidth="1"/>
    <col min="20" max="20" width="7.140625" customWidth="1"/>
    <col min="21" max="24" width="15.7109375" customWidth="1"/>
    <col min="25" max="25" width="3.5703125" customWidth="1"/>
    <col min="26" max="26" width="6.28515625" customWidth="1"/>
    <col min="27" max="30" width="15.7109375" customWidth="1"/>
    <col min="31" max="31" width="3.5703125" customWidth="1"/>
    <col min="32" max="32" width="6.28515625" customWidth="1"/>
    <col min="33" max="36" width="15.7109375" customWidth="1"/>
    <col min="37" max="37" width="3.5703125" customWidth="1"/>
    <col min="38" max="38" width="6.28515625" customWidth="1"/>
    <col min="39" max="42" width="15.7109375" customWidth="1"/>
    <col min="43" max="43" width="3.5703125" customWidth="1"/>
    <col min="44" max="44" width="6.28515625" customWidth="1"/>
    <col min="45" max="48" width="15.7109375" customWidth="1"/>
  </cols>
  <sheetData>
    <row r="1" spans="1:48" ht="15" customHeight="1">
      <c r="A1" s="483" t="s">
        <v>273</v>
      </c>
      <c r="B1" s="484"/>
      <c r="C1" s="484"/>
      <c r="D1" s="484"/>
      <c r="E1" s="484"/>
      <c r="F1" s="485"/>
      <c r="G1" s="268"/>
      <c r="H1" s="483" t="s">
        <v>361</v>
      </c>
      <c r="I1" s="484"/>
      <c r="J1" s="484"/>
      <c r="K1" s="484"/>
      <c r="L1" s="485"/>
      <c r="M1" s="268"/>
      <c r="N1" s="483" t="s">
        <v>274</v>
      </c>
      <c r="O1" s="484"/>
      <c r="P1" s="484"/>
      <c r="Q1" s="484"/>
      <c r="R1" s="485"/>
      <c r="S1" s="270"/>
      <c r="T1" s="483" t="s">
        <v>275</v>
      </c>
      <c r="U1" s="484"/>
      <c r="V1" s="484"/>
      <c r="W1" s="484"/>
      <c r="X1" s="485"/>
      <c r="Y1" s="274"/>
      <c r="Z1" s="483" t="s">
        <v>667</v>
      </c>
      <c r="AA1" s="484"/>
      <c r="AB1" s="484"/>
      <c r="AC1" s="484"/>
      <c r="AD1" s="485"/>
      <c r="AE1" s="274"/>
      <c r="AF1" s="483" t="s">
        <v>668</v>
      </c>
      <c r="AG1" s="484"/>
      <c r="AH1" s="484"/>
      <c r="AI1" s="484"/>
      <c r="AJ1" s="485"/>
      <c r="AK1" s="274"/>
      <c r="AL1" s="483" t="s">
        <v>625</v>
      </c>
      <c r="AM1" s="484"/>
      <c r="AN1" s="484"/>
      <c r="AO1" s="484"/>
      <c r="AP1" s="485"/>
      <c r="AQ1" s="274"/>
      <c r="AR1" s="483" t="s">
        <v>637</v>
      </c>
      <c r="AS1" s="484"/>
      <c r="AT1" s="484"/>
      <c r="AU1" s="484"/>
      <c r="AV1" s="485"/>
    </row>
    <row r="2" spans="1:48" ht="60" customHeight="1">
      <c r="A2" s="258" t="s">
        <v>34</v>
      </c>
      <c r="B2" s="368" t="s">
        <v>248</v>
      </c>
      <c r="C2" s="259" t="s">
        <v>357</v>
      </c>
      <c r="D2" s="259" t="s">
        <v>358</v>
      </c>
      <c r="E2" s="259" t="s">
        <v>359</v>
      </c>
      <c r="F2" s="260" t="s">
        <v>45</v>
      </c>
      <c r="G2" s="269"/>
      <c r="H2" s="258" t="s">
        <v>34</v>
      </c>
      <c r="I2" s="259" t="s">
        <v>357</v>
      </c>
      <c r="J2" s="259" t="s">
        <v>358</v>
      </c>
      <c r="K2" s="259" t="s">
        <v>359</v>
      </c>
      <c r="L2" s="260" t="s">
        <v>45</v>
      </c>
      <c r="M2" s="269"/>
      <c r="N2" s="258" t="s">
        <v>34</v>
      </c>
      <c r="O2" s="259" t="s">
        <v>357</v>
      </c>
      <c r="P2" s="259" t="s">
        <v>358</v>
      </c>
      <c r="Q2" s="259" t="s">
        <v>359</v>
      </c>
      <c r="R2" s="260" t="s">
        <v>45</v>
      </c>
      <c r="S2" s="273"/>
      <c r="T2" s="258" t="s">
        <v>34</v>
      </c>
      <c r="U2" s="259" t="s">
        <v>357</v>
      </c>
      <c r="V2" s="259" t="s">
        <v>358</v>
      </c>
      <c r="W2" s="259" t="s">
        <v>359</v>
      </c>
      <c r="X2" s="260" t="s">
        <v>45</v>
      </c>
      <c r="Y2" s="275"/>
      <c r="Z2" s="258" t="s">
        <v>34</v>
      </c>
      <c r="AA2" s="259" t="s">
        <v>357</v>
      </c>
      <c r="AB2" s="259" t="s">
        <v>358</v>
      </c>
      <c r="AC2" s="259" t="s">
        <v>359</v>
      </c>
      <c r="AD2" s="260" t="s">
        <v>45</v>
      </c>
      <c r="AE2" s="275"/>
      <c r="AF2" s="258" t="s">
        <v>34</v>
      </c>
      <c r="AG2" s="259" t="s">
        <v>357</v>
      </c>
      <c r="AH2" s="259" t="s">
        <v>358</v>
      </c>
      <c r="AI2" s="259" t="s">
        <v>359</v>
      </c>
      <c r="AJ2" s="260" t="s">
        <v>45</v>
      </c>
      <c r="AK2" s="275"/>
      <c r="AL2" s="258" t="s">
        <v>34</v>
      </c>
      <c r="AM2" s="259" t="s">
        <v>357</v>
      </c>
      <c r="AN2" s="259" t="s">
        <v>358</v>
      </c>
      <c r="AO2" s="259" t="s">
        <v>359</v>
      </c>
      <c r="AP2" s="260" t="s">
        <v>45</v>
      </c>
      <c r="AQ2" s="275"/>
      <c r="AR2" s="258" t="s">
        <v>34</v>
      </c>
      <c r="AS2" s="259" t="s">
        <v>357</v>
      </c>
      <c r="AT2" s="259" t="s">
        <v>358</v>
      </c>
      <c r="AU2" s="259" t="s">
        <v>359</v>
      </c>
      <c r="AV2" s="260" t="s">
        <v>45</v>
      </c>
    </row>
    <row r="3" spans="1:48">
      <c r="A3" s="261">
        <v>0</v>
      </c>
      <c r="B3" s="369">
        <f t="shared" ref="B3:B23" si="0">_btuAv</f>
        <v>7631.4090572772957</v>
      </c>
      <c r="C3" s="262">
        <v>0</v>
      </c>
      <c r="D3" s="262">
        <f>-'LCA Vestas Onshore 2.0MW'!C48</f>
        <v>-3635621.4355153013</v>
      </c>
      <c r="E3" s="262">
        <f>C3+D3</f>
        <v>-3635621.4355153013</v>
      </c>
      <c r="F3" s="263">
        <f>E3/(1+$C$27)^A3</f>
        <v>-3635621.4355153013</v>
      </c>
      <c r="G3" s="270"/>
      <c r="H3" s="261">
        <v>0</v>
      </c>
      <c r="I3" s="262">
        <f>C3</f>
        <v>0</v>
      </c>
      <c r="J3" s="262">
        <f>D3-'Project LCA &amp; TEA'!E42*'Project LCA &amp; TEA'!D63 - 'Project LCA &amp; TEA'!E44*'Project LCA &amp; TEA'!D63</f>
        <v>-12732439.770845886</v>
      </c>
      <c r="K3" s="262">
        <f>I3+J3</f>
        <v>-12732439.770845886</v>
      </c>
      <c r="L3" s="263">
        <f>(K3)/(1+$O$27)^H3</f>
        <v>-12732439.770845886</v>
      </c>
      <c r="M3" s="270"/>
      <c r="N3" s="261">
        <v>0</v>
      </c>
      <c r="O3" s="262">
        <v>0</v>
      </c>
      <c r="P3" s="262">
        <f>J3</f>
        <v>-12732439.770845886</v>
      </c>
      <c r="Q3" s="262">
        <f>O3+P3</f>
        <v>-12732439.770845886</v>
      </c>
      <c r="R3" s="263">
        <f>(Q3)/(1+$O$27)^N3</f>
        <v>-12732439.770845886</v>
      </c>
      <c r="S3" s="270"/>
      <c r="T3" s="261">
        <v>0</v>
      </c>
      <c r="U3" s="262">
        <f>O3</f>
        <v>0</v>
      </c>
      <c r="V3" s="262">
        <f>P3</f>
        <v>-12732439.770845886</v>
      </c>
      <c r="W3" s="262">
        <f>U3+V3</f>
        <v>-12732439.770845886</v>
      </c>
      <c r="X3" s="263">
        <f t="shared" ref="X3:X23" si="1">(W3)/(1+$O$27)^T3</f>
        <v>-12732439.770845886</v>
      </c>
      <c r="Y3" s="276"/>
      <c r="Z3" s="261">
        <v>0</v>
      </c>
      <c r="AA3" s="262">
        <f>U3</f>
        <v>0</v>
      </c>
      <c r="AB3" s="262">
        <f>V3</f>
        <v>-12732439.770845886</v>
      </c>
      <c r="AC3" s="262">
        <f>AA3+AB3</f>
        <v>-12732439.770845886</v>
      </c>
      <c r="AD3" s="263">
        <f t="shared" ref="AD3:AD23" si="2">(AC3)/(1+$O$27)^Z3</f>
        <v>-12732439.770845886</v>
      </c>
      <c r="AE3" s="276"/>
      <c r="AF3" s="261">
        <v>0</v>
      </c>
      <c r="AG3" s="459">
        <f>AA3</f>
        <v>0</v>
      </c>
      <c r="AH3" s="459">
        <f>AB3</f>
        <v>-12732439.770845886</v>
      </c>
      <c r="AI3" s="459">
        <f>AG3+AH3</f>
        <v>-12732439.770845886</v>
      </c>
      <c r="AJ3" s="466">
        <f t="shared" ref="AJ3:AJ23" si="3">(AI3)/(1+$O$27)^AF3</f>
        <v>-12732439.770845886</v>
      </c>
      <c r="AK3" s="276"/>
      <c r="AL3" s="261">
        <v>0</v>
      </c>
      <c r="AM3" s="459">
        <f>AG3</f>
        <v>0</v>
      </c>
      <c r="AN3" s="459">
        <f>AH3</f>
        <v>-12732439.770845886</v>
      </c>
      <c r="AO3" s="459">
        <f>AM3+AN3</f>
        <v>-12732439.770845886</v>
      </c>
      <c r="AP3" s="466">
        <f t="shared" ref="AP3:AP23" si="4">(AO3)/(1+$O$27)^AL3</f>
        <v>-12732439.770845886</v>
      </c>
      <c r="AQ3" s="276"/>
      <c r="AR3" s="261">
        <v>0</v>
      </c>
      <c r="AS3" s="262">
        <f>AM3</f>
        <v>0</v>
      </c>
      <c r="AT3" s="262">
        <f>AN3</f>
        <v>-12732439.770845886</v>
      </c>
      <c r="AU3" s="262">
        <f>AS3+AT3</f>
        <v>-12732439.770845886</v>
      </c>
      <c r="AV3" s="263">
        <f t="shared" ref="AV3:AV23" si="5">(AU3)/(1+$O$27)^AR3</f>
        <v>-12732439.770845886</v>
      </c>
    </row>
    <row r="4" spans="1:48">
      <c r="A4" s="261">
        <v>1</v>
      </c>
      <c r="B4" s="369">
        <f t="shared" si="0"/>
        <v>7631.4090572772957</v>
      </c>
      <c r="C4" s="262">
        <f>'LCA Vestas Onshore 2.0MW'!C5</f>
        <v>5634000</v>
      </c>
      <c r="D4" s="262">
        <v>0</v>
      </c>
      <c r="E4" s="262">
        <f>C4+D4</f>
        <v>5634000</v>
      </c>
      <c r="F4" s="263">
        <f t="shared" ref="F4:F23" si="6">E4/(1+$C$27)^A4</f>
        <v>2209700.9465321922</v>
      </c>
      <c r="G4" s="271"/>
      <c r="H4" s="261">
        <v>1</v>
      </c>
      <c r="I4" s="262">
        <f>C4</f>
        <v>5634000</v>
      </c>
      <c r="J4" s="262">
        <f>D4</f>
        <v>0</v>
      </c>
      <c r="K4" s="262">
        <f>I4+J4</f>
        <v>5634000</v>
      </c>
      <c r="L4" s="263">
        <f t="shared" ref="L4:L23" si="7">(K4)/(1+$O$27)^H4</f>
        <v>3920458.6757983239</v>
      </c>
      <c r="M4" s="271"/>
      <c r="N4" s="261">
        <v>1</v>
      </c>
      <c r="O4" s="262">
        <f>C4</f>
        <v>5634000</v>
      </c>
      <c r="P4" s="262">
        <f>J4-SUM('Project LCA &amp; TEA'!E46:E48)*'Project LCA &amp; TEA'!D63</f>
        <v>-65000.455899111774</v>
      </c>
      <c r="Q4" s="262">
        <f>O4+P4</f>
        <v>5568999.5441008881</v>
      </c>
      <c r="R4" s="263">
        <f t="shared" ref="R4:R23" si="8">(Q4)/(1+$O$27)^N4</f>
        <v>3875227.6496604965</v>
      </c>
      <c r="S4" s="270"/>
      <c r="T4" s="261">
        <v>1</v>
      </c>
      <c r="U4" s="262">
        <f>O4</f>
        <v>5634000</v>
      </c>
      <c r="V4" s="262">
        <f>P4-SUM('Project LCA &amp; TEA'!E50:E52)*'Project LCA &amp; TEA'!D63</f>
        <v>-73438.966783068958</v>
      </c>
      <c r="W4" s="262">
        <f>U4+V4</f>
        <v>5560561.0332169309</v>
      </c>
      <c r="X4" s="263">
        <f t="shared" si="1"/>
        <v>3869355.6522863703</v>
      </c>
      <c r="Y4" s="276"/>
      <c r="Z4" s="261">
        <v>1</v>
      </c>
      <c r="AA4" s="262">
        <f>U4</f>
        <v>5634000</v>
      </c>
      <c r="AB4" s="262">
        <f>V4-SUM('Project LCA &amp; TEA'!E54:E55)*'Project LCA &amp; TEA'!D63</f>
        <v>-151324.02382579673</v>
      </c>
      <c r="AC4" s="262">
        <f>AA4+AB4</f>
        <v>5482675.9761742037</v>
      </c>
      <c r="AD4" s="263">
        <f t="shared" si="2"/>
        <v>3815158.7854780266</v>
      </c>
      <c r="AE4" s="276"/>
      <c r="AF4" s="261">
        <v>1</v>
      </c>
      <c r="AG4" s="459">
        <f>AA4</f>
        <v>5634000</v>
      </c>
      <c r="AH4" s="459">
        <f>AB4-NREL_OnlineCashFlow_SEA3.1!$C$66*1000*_WhAv/1000</f>
        <v>-645910.94513321086</v>
      </c>
      <c r="AI4" s="459">
        <f>AG4+AH4</f>
        <v>4988089.0548667889</v>
      </c>
      <c r="AJ4" s="466">
        <f t="shared" si="3"/>
        <v>3470996.9845238137</v>
      </c>
      <c r="AK4" s="276"/>
      <c r="AL4" s="261">
        <v>1</v>
      </c>
      <c r="AM4" s="459">
        <f>AG4</f>
        <v>5634000</v>
      </c>
      <c r="AN4" s="459">
        <f>AH4-NREL_OnlineCashFlow_SEA3.1!$C$40*1000*_WhAv/1000</f>
        <v>-725118.35088005289</v>
      </c>
      <c r="AO4" s="459">
        <f>AM4+AN4</f>
        <v>4908881.6491199471</v>
      </c>
      <c r="AP4" s="466">
        <f t="shared" si="4"/>
        <v>3415879.9520339868</v>
      </c>
      <c r="AQ4" s="276"/>
      <c r="AR4" s="261">
        <v>1</v>
      </c>
      <c r="AS4" s="262">
        <f>AM4+'Project LCA &amp; TEA'!E59*_KWturb</f>
        <v>5898780.8009392098</v>
      </c>
      <c r="AT4" s="459">
        <f>AN4</f>
        <v>-725118.35088005289</v>
      </c>
      <c r="AU4" s="262">
        <f>AS4+AT4</f>
        <v>5173662.4500591569</v>
      </c>
      <c r="AV4" s="263">
        <f t="shared" si="5"/>
        <v>3600129.5417086324</v>
      </c>
    </row>
    <row r="5" spans="1:48">
      <c r="A5" s="261">
        <v>2</v>
      </c>
      <c r="B5" s="369">
        <f t="shared" si="0"/>
        <v>7631.4090572772957</v>
      </c>
      <c r="C5" s="264">
        <f>C4</f>
        <v>5634000</v>
      </c>
      <c r="D5" s="264">
        <f>D4</f>
        <v>0</v>
      </c>
      <c r="E5" s="264">
        <f>D5+C5</f>
        <v>5634000</v>
      </c>
      <c r="F5" s="263">
        <f t="shared" si="6"/>
        <v>866662.81027782511</v>
      </c>
      <c r="G5" s="268"/>
      <c r="H5" s="261">
        <v>2</v>
      </c>
      <c r="I5" s="264">
        <f>I4</f>
        <v>5634000</v>
      </c>
      <c r="J5" s="264">
        <f>J4</f>
        <v>0</v>
      </c>
      <c r="K5" s="264">
        <f>J5+I5</f>
        <v>5634000</v>
      </c>
      <c r="L5" s="263">
        <f t="shared" si="7"/>
        <v>2728078.847824343</v>
      </c>
      <c r="M5" s="268"/>
      <c r="N5" s="261">
        <v>2</v>
      </c>
      <c r="O5" s="264">
        <f>O4</f>
        <v>5634000</v>
      </c>
      <c r="P5" s="264">
        <f>P4</f>
        <v>-65000.455899111774</v>
      </c>
      <c r="Q5" s="264">
        <f>P5+O5</f>
        <v>5568999.5441008881</v>
      </c>
      <c r="R5" s="263">
        <f t="shared" si="8"/>
        <v>2696604.5189572312</v>
      </c>
      <c r="S5" s="270"/>
      <c r="T5" s="261">
        <v>2</v>
      </c>
      <c r="U5" s="264">
        <f>U4</f>
        <v>5634000</v>
      </c>
      <c r="V5" s="264">
        <f>V4</f>
        <v>-73438.966783068958</v>
      </c>
      <c r="W5" s="264">
        <f>V5+U5</f>
        <v>5560561.0332169309</v>
      </c>
      <c r="X5" s="263">
        <f t="shared" si="1"/>
        <v>2692518.4481283957</v>
      </c>
      <c r="Y5" s="277"/>
      <c r="Z5" s="261">
        <v>2</v>
      </c>
      <c r="AA5" s="264">
        <f>AA4</f>
        <v>5634000</v>
      </c>
      <c r="AB5" s="264">
        <f>AB4</f>
        <v>-151324.02382579673</v>
      </c>
      <c r="AC5" s="264">
        <f>AB5+AA5</f>
        <v>5482675.9761742037</v>
      </c>
      <c r="AD5" s="263">
        <f t="shared" si="2"/>
        <v>2654805.175732255</v>
      </c>
      <c r="AE5" s="277"/>
      <c r="AF5" s="261">
        <v>2</v>
      </c>
      <c r="AG5" s="460">
        <f>AG4</f>
        <v>5634000</v>
      </c>
      <c r="AH5" s="459">
        <f>AB5-NREL_OnlineCashFlow_SEA3.1!$D$66*1000*_WhAv/1000</f>
        <v>-634721.19578236435</v>
      </c>
      <c r="AI5" s="460">
        <f>AH5+AG5</f>
        <v>4999278.8042176357</v>
      </c>
      <c r="AJ5" s="466">
        <f t="shared" si="3"/>
        <v>2420736.0241680345</v>
      </c>
      <c r="AK5" s="277"/>
      <c r="AL5" s="261">
        <v>2</v>
      </c>
      <c r="AM5" s="460">
        <f>AM4</f>
        <v>5634000</v>
      </c>
      <c r="AN5" s="459">
        <f>AH5-NREL_OnlineCashFlow_SEA3.1!$D$40*1000*_WhAv/1000</f>
        <v>-719077.08290275116</v>
      </c>
      <c r="AO5" s="460">
        <f>AN5+AM5</f>
        <v>4914922.9170972491</v>
      </c>
      <c r="AP5" s="466">
        <f t="shared" si="4"/>
        <v>2379889.4655342777</v>
      </c>
      <c r="AQ5" s="277"/>
      <c r="AR5" s="261">
        <v>2</v>
      </c>
      <c r="AS5" s="530">
        <f>AS4</f>
        <v>5898780.8009392098</v>
      </c>
      <c r="AT5" s="529">
        <f>AN5</f>
        <v>-719077.08290275116</v>
      </c>
      <c r="AU5" s="264">
        <f>AT5+AS5</f>
        <v>5179703.7180364588</v>
      </c>
      <c r="AV5" s="263">
        <f t="shared" si="5"/>
        <v>2508100.8433035794</v>
      </c>
    </row>
    <row r="6" spans="1:48">
      <c r="A6" s="261">
        <v>3</v>
      </c>
      <c r="B6" s="369">
        <f t="shared" si="0"/>
        <v>7631.4090572772957</v>
      </c>
      <c r="C6" s="264">
        <f t="shared" ref="C6:D23" si="9">C5</f>
        <v>5634000</v>
      </c>
      <c r="D6" s="264">
        <f t="shared" si="9"/>
        <v>0</v>
      </c>
      <c r="E6" s="264">
        <f t="shared" ref="E6:E23" si="10">D6+C6</f>
        <v>5634000</v>
      </c>
      <c r="F6" s="263">
        <f t="shared" si="6"/>
        <v>339912.25278579345</v>
      </c>
      <c r="G6" s="268"/>
      <c r="H6" s="261">
        <v>3</v>
      </c>
      <c r="I6" s="264">
        <f t="shared" ref="I6:I23" si="11">I5</f>
        <v>5634000</v>
      </c>
      <c r="J6" s="264">
        <f t="shared" ref="J6:J23" si="12">J5</f>
        <v>0</v>
      </c>
      <c r="K6" s="264">
        <f t="shared" ref="K6:K23" si="13">J6+I6</f>
        <v>5634000</v>
      </c>
      <c r="L6" s="263">
        <f t="shared" si="7"/>
        <v>1898352.926378211</v>
      </c>
      <c r="M6" s="268"/>
      <c r="N6" s="261">
        <v>3</v>
      </c>
      <c r="O6" s="264">
        <f t="shared" ref="O6:P23" si="14">O5</f>
        <v>5634000</v>
      </c>
      <c r="P6" s="264">
        <f t="shared" si="14"/>
        <v>-65000.455899111774</v>
      </c>
      <c r="Q6" s="264">
        <f t="shared" ref="Q6:Q23" si="15">P6+O6</f>
        <v>5568999.5441008881</v>
      </c>
      <c r="R6" s="263">
        <f t="shared" si="8"/>
        <v>1876451.2924286199</v>
      </c>
      <c r="S6" s="270"/>
      <c r="T6" s="261">
        <v>3</v>
      </c>
      <c r="U6" s="264">
        <f t="shared" ref="U6:V23" si="16">U5</f>
        <v>5634000</v>
      </c>
      <c r="V6" s="264">
        <f t="shared" si="16"/>
        <v>-73438.966783068958</v>
      </c>
      <c r="W6" s="264">
        <f t="shared" ref="W6:W23" si="17">V6+U6</f>
        <v>5560561.0332169309</v>
      </c>
      <c r="X6" s="263">
        <f t="shared" si="1"/>
        <v>1873607.9711948899</v>
      </c>
      <c r="Y6" s="277"/>
      <c r="Z6" s="261">
        <v>3</v>
      </c>
      <c r="AA6" s="264">
        <f t="shared" ref="AA6:AB23" si="18">AA5</f>
        <v>5634000</v>
      </c>
      <c r="AB6" s="264">
        <f t="shared" si="18"/>
        <v>-151324.02382579673</v>
      </c>
      <c r="AC6" s="264">
        <f t="shared" ref="AC6:AC23" si="19">AB6+AA6</f>
        <v>5482675.9761742037</v>
      </c>
      <c r="AD6" s="263">
        <f t="shared" si="2"/>
        <v>1847364.9243439501</v>
      </c>
      <c r="AE6" s="277"/>
      <c r="AF6" s="261">
        <v>3</v>
      </c>
      <c r="AG6" s="460">
        <f t="shared" ref="AG6:AG23" si="20">AG5</f>
        <v>5634000</v>
      </c>
      <c r="AH6" s="459">
        <f>AB6-NREL_OnlineCashFlow_SEA3.1!$E$66*1000*_WhAv/1000</f>
        <v>-621293.49656134867</v>
      </c>
      <c r="AI6" s="460">
        <f t="shared" ref="AI6:AI23" si="21">AH6+AG6</f>
        <v>5012706.5034386516</v>
      </c>
      <c r="AJ6" s="466">
        <f t="shared" si="3"/>
        <v>1689010.6602552102</v>
      </c>
      <c r="AK6" s="277"/>
      <c r="AL6" s="261">
        <v>3</v>
      </c>
      <c r="AM6" s="460">
        <f t="shared" ref="AM6" si="22">AM5</f>
        <v>5634000</v>
      </c>
      <c r="AN6" s="459">
        <f>AH6-NREL_OnlineCashFlow_SEA3.1!$E$40*1000*_WhAv/1000</f>
        <v>-711132.51634456066</v>
      </c>
      <c r="AO6" s="460">
        <f t="shared" ref="AO6:AO23" si="23">AN6+AM6</f>
        <v>4922867.4836554397</v>
      </c>
      <c r="AP6" s="466">
        <f t="shared" si="4"/>
        <v>1658739.7752519425</v>
      </c>
      <c r="AQ6" s="277"/>
      <c r="AR6" s="261">
        <v>3</v>
      </c>
      <c r="AS6" s="530">
        <f t="shared" ref="AS6:AT6" si="24">AS5</f>
        <v>5898780.8009392098</v>
      </c>
      <c r="AT6" s="529">
        <f>AN6</f>
        <v>-711132.51634456066</v>
      </c>
      <c r="AU6" s="264">
        <f t="shared" ref="AU6:AU23" si="25">AT6+AS6</f>
        <v>5187648.2845946494</v>
      </c>
      <c r="AV6" s="263">
        <f t="shared" si="5"/>
        <v>1747956.5676395383</v>
      </c>
    </row>
    <row r="7" spans="1:48">
      <c r="A7" s="261">
        <v>4</v>
      </c>
      <c r="B7" s="369">
        <f t="shared" si="0"/>
        <v>7631.4090572772957</v>
      </c>
      <c r="C7" s="264">
        <f>C6</f>
        <v>5634000</v>
      </c>
      <c r="D7" s="264">
        <f t="shared" si="9"/>
        <v>0</v>
      </c>
      <c r="E7" s="264">
        <f t="shared" si="10"/>
        <v>5634000</v>
      </c>
      <c r="F7" s="263">
        <f t="shared" si="6"/>
        <v>133316.36966962327</v>
      </c>
      <c r="G7" s="268"/>
      <c r="H7" s="261">
        <v>4</v>
      </c>
      <c r="I7" s="264">
        <f t="shared" si="11"/>
        <v>5634000</v>
      </c>
      <c r="J7" s="264">
        <f t="shared" si="12"/>
        <v>0</v>
      </c>
      <c r="K7" s="264">
        <f t="shared" si="13"/>
        <v>5634000</v>
      </c>
      <c r="L7" s="263">
        <f t="shared" si="7"/>
        <v>1320982.2861105066</v>
      </c>
      <c r="M7" s="268"/>
      <c r="N7" s="261">
        <v>4</v>
      </c>
      <c r="O7" s="264">
        <f t="shared" si="14"/>
        <v>5634000</v>
      </c>
      <c r="P7" s="264">
        <f t="shared" si="14"/>
        <v>-65000.455899111774</v>
      </c>
      <c r="Q7" s="264">
        <f t="shared" si="15"/>
        <v>5568999.5441008881</v>
      </c>
      <c r="R7" s="263">
        <f t="shared" si="8"/>
        <v>1305741.8795020874</v>
      </c>
      <c r="S7" s="270"/>
      <c r="T7" s="261">
        <v>4</v>
      </c>
      <c r="U7" s="264">
        <f t="shared" si="16"/>
        <v>5634000</v>
      </c>
      <c r="V7" s="264">
        <f t="shared" si="16"/>
        <v>-73438.966783068958</v>
      </c>
      <c r="W7" s="264">
        <f t="shared" si="17"/>
        <v>5560561.0332169309</v>
      </c>
      <c r="X7" s="263">
        <f t="shared" si="1"/>
        <v>1303763.3343478704</v>
      </c>
      <c r="Y7" s="277"/>
      <c r="Z7" s="261">
        <v>4</v>
      </c>
      <c r="AA7" s="264">
        <f t="shared" si="18"/>
        <v>5634000</v>
      </c>
      <c r="AB7" s="264">
        <f t="shared" si="18"/>
        <v>-151324.02382579673</v>
      </c>
      <c r="AC7" s="264">
        <f t="shared" si="19"/>
        <v>5482675.9761742037</v>
      </c>
      <c r="AD7" s="263">
        <f t="shared" si="2"/>
        <v>1285501.9249218588</v>
      </c>
      <c r="AE7" s="277"/>
      <c r="AF7" s="261">
        <v>4</v>
      </c>
      <c r="AG7" s="460">
        <f t="shared" si="20"/>
        <v>5634000</v>
      </c>
      <c r="AH7" s="459">
        <f>AB7-NREL_OnlineCashFlow_SEA3.1!$F$66*1000*_WhAv/1000</f>
        <v>-605627.8474701636</v>
      </c>
      <c r="AI7" s="460">
        <f t="shared" si="21"/>
        <v>5028372.1525298366</v>
      </c>
      <c r="AJ7" s="466">
        <f t="shared" si="3"/>
        <v>1178983.0567027463</v>
      </c>
      <c r="AK7" s="277"/>
      <c r="AL7" s="261">
        <v>4</v>
      </c>
      <c r="AM7" s="460">
        <f t="shared" ref="AM7" si="26">AM6</f>
        <v>5634000</v>
      </c>
      <c r="AN7" s="459">
        <f>AH7-NREL_OnlineCashFlow_SEA3.1!$F$40*1000*_WhAv/1000</f>
        <v>-701306.40353928437</v>
      </c>
      <c r="AO7" s="460">
        <f t="shared" si="23"/>
        <v>4932693.5964607159</v>
      </c>
      <c r="AP7" s="466">
        <f t="shared" si="4"/>
        <v>1156549.6740744291</v>
      </c>
      <c r="AQ7" s="277"/>
      <c r="AR7" s="261">
        <v>4</v>
      </c>
      <c r="AS7" s="530">
        <f t="shared" ref="AS7:AT7" si="27">AS6</f>
        <v>5898780.8009392098</v>
      </c>
      <c r="AT7" s="529">
        <f>AN7</f>
        <v>-701306.40353928437</v>
      </c>
      <c r="AU7" s="264">
        <f t="shared" si="25"/>
        <v>5197474.3973999256</v>
      </c>
      <c r="AV7" s="263">
        <f t="shared" si="5"/>
        <v>1218631.808924065</v>
      </c>
    </row>
    <row r="8" spans="1:48">
      <c r="A8" s="261">
        <v>5</v>
      </c>
      <c r="B8" s="369">
        <f t="shared" si="0"/>
        <v>7631.4090572772957</v>
      </c>
      <c r="C8" s="264">
        <f t="shared" si="9"/>
        <v>5634000</v>
      </c>
      <c r="D8" s="264">
        <f t="shared" si="9"/>
        <v>0</v>
      </c>
      <c r="E8" s="264">
        <f t="shared" si="10"/>
        <v>5634000</v>
      </c>
      <c r="F8" s="263">
        <f t="shared" si="6"/>
        <v>52287.77214185342</v>
      </c>
      <c r="G8" s="268"/>
      <c r="H8" s="261">
        <v>5</v>
      </c>
      <c r="I8" s="264">
        <f t="shared" si="11"/>
        <v>5634000</v>
      </c>
      <c r="J8" s="264">
        <f t="shared" si="12"/>
        <v>0</v>
      </c>
      <c r="K8" s="264">
        <f t="shared" si="13"/>
        <v>5634000</v>
      </c>
      <c r="L8" s="263">
        <f t="shared" si="7"/>
        <v>919214.84986827115</v>
      </c>
      <c r="M8" s="268"/>
      <c r="N8" s="261">
        <v>5</v>
      </c>
      <c r="O8" s="264">
        <f t="shared" si="14"/>
        <v>5634000</v>
      </c>
      <c r="P8" s="264">
        <f t="shared" si="14"/>
        <v>-65000.455899111774</v>
      </c>
      <c r="Q8" s="264">
        <f t="shared" si="15"/>
        <v>5568999.5441008881</v>
      </c>
      <c r="R8" s="263">
        <f t="shared" si="8"/>
        <v>908609.70533318573</v>
      </c>
      <c r="S8" s="270"/>
      <c r="T8" s="261">
        <v>5</v>
      </c>
      <c r="U8" s="264">
        <f t="shared" si="16"/>
        <v>5634000</v>
      </c>
      <c r="V8" s="264">
        <f t="shared" si="16"/>
        <v>-73438.966783068958</v>
      </c>
      <c r="W8" s="264">
        <f t="shared" si="17"/>
        <v>5560561.0332169309</v>
      </c>
      <c r="X8" s="263">
        <f t="shared" si="1"/>
        <v>907232.92071918002</v>
      </c>
      <c r="Y8" s="277"/>
      <c r="Z8" s="261">
        <v>5</v>
      </c>
      <c r="AA8" s="264">
        <f t="shared" si="18"/>
        <v>5634000</v>
      </c>
      <c r="AB8" s="264">
        <f t="shared" si="18"/>
        <v>-151324.02382579673</v>
      </c>
      <c r="AC8" s="264">
        <f t="shared" si="19"/>
        <v>5482675.9761742037</v>
      </c>
      <c r="AD8" s="263">
        <f t="shared" si="2"/>
        <v>894525.59004532266</v>
      </c>
      <c r="AE8" s="277"/>
      <c r="AF8" s="261">
        <v>5</v>
      </c>
      <c r="AG8" s="460">
        <f t="shared" si="20"/>
        <v>5634000</v>
      </c>
      <c r="AH8" s="459">
        <f>AB8-NREL_OnlineCashFlow_SEA3.1!$G$66*1000*_WhAv/1000</f>
        <v>-592200.14824914769</v>
      </c>
      <c r="AI8" s="460">
        <f t="shared" si="21"/>
        <v>5041799.8517508525</v>
      </c>
      <c r="AJ8" s="466">
        <f t="shared" si="3"/>
        <v>822594.47884150373</v>
      </c>
      <c r="AK8" s="277"/>
      <c r="AL8" s="261">
        <v>5</v>
      </c>
      <c r="AM8" s="460">
        <f t="shared" ref="AM8" si="28">AM7</f>
        <v>5634000</v>
      </c>
      <c r="AN8" s="459">
        <f>AH8-NREL_OnlineCashFlow_SEA3.1!$G$40*1000*_WhAv/1000</f>
        <v>-694097.81046276132</v>
      </c>
      <c r="AO8" s="460">
        <f t="shared" si="23"/>
        <v>4939902.1895372383</v>
      </c>
      <c r="AP8" s="466">
        <f t="shared" si="4"/>
        <v>805969.37336162874</v>
      </c>
      <c r="AQ8" s="277"/>
      <c r="AR8" s="261">
        <v>5</v>
      </c>
      <c r="AS8" s="530">
        <f t="shared" ref="AS8:AT8" si="29">AS7</f>
        <v>5898780.8009392098</v>
      </c>
      <c r="AT8" s="529">
        <f>AN8</f>
        <v>-694097.81046276132</v>
      </c>
      <c r="AU8" s="264">
        <f t="shared" si="25"/>
        <v>5204682.9904764481</v>
      </c>
      <c r="AV8" s="263">
        <f t="shared" si="5"/>
        <v>849169.66519395681</v>
      </c>
    </row>
    <row r="9" spans="1:48">
      <c r="A9" s="261">
        <v>6</v>
      </c>
      <c r="B9" s="369">
        <f t="shared" si="0"/>
        <v>7631.4090572772957</v>
      </c>
      <c r="C9" s="264">
        <f t="shared" si="9"/>
        <v>5634000</v>
      </c>
      <c r="D9" s="264">
        <f t="shared" si="9"/>
        <v>0</v>
      </c>
      <c r="E9" s="264">
        <f t="shared" si="10"/>
        <v>5634000</v>
      </c>
      <c r="F9" s="263">
        <f t="shared" si="6"/>
        <v>20507.692508681772</v>
      </c>
      <c r="G9" s="268"/>
      <c r="H9" s="261">
        <v>6</v>
      </c>
      <c r="I9" s="264">
        <f t="shared" si="11"/>
        <v>5634000</v>
      </c>
      <c r="J9" s="264">
        <f t="shared" si="12"/>
        <v>0</v>
      </c>
      <c r="K9" s="264">
        <f t="shared" si="13"/>
        <v>5634000</v>
      </c>
      <c r="L9" s="263">
        <f t="shared" si="7"/>
        <v>639642.14289824595</v>
      </c>
      <c r="M9" s="268"/>
      <c r="N9" s="261">
        <v>6</v>
      </c>
      <c r="O9" s="264">
        <f t="shared" si="14"/>
        <v>5634000</v>
      </c>
      <c r="P9" s="264">
        <f t="shared" si="14"/>
        <v>-65000.455899111774</v>
      </c>
      <c r="Q9" s="264">
        <f t="shared" si="15"/>
        <v>5568999.5441008881</v>
      </c>
      <c r="R9" s="263">
        <f t="shared" si="8"/>
        <v>632262.47820164124</v>
      </c>
      <c r="S9" s="270"/>
      <c r="T9" s="261">
        <v>6</v>
      </c>
      <c r="U9" s="264">
        <f t="shared" si="16"/>
        <v>5634000</v>
      </c>
      <c r="V9" s="264">
        <f t="shared" si="16"/>
        <v>-73438.966783068958</v>
      </c>
      <c r="W9" s="264">
        <f t="shared" si="17"/>
        <v>5560561.0332169309</v>
      </c>
      <c r="X9" s="263">
        <f t="shared" si="1"/>
        <v>631304.43290794501</v>
      </c>
      <c r="Y9" s="277"/>
      <c r="Z9" s="261">
        <v>6</v>
      </c>
      <c r="AA9" s="264">
        <f t="shared" si="18"/>
        <v>5634000</v>
      </c>
      <c r="AB9" s="264">
        <f t="shared" si="18"/>
        <v>-151324.02382579673</v>
      </c>
      <c r="AC9" s="264">
        <f t="shared" si="19"/>
        <v>5482675.9761742037</v>
      </c>
      <c r="AD9" s="263">
        <f t="shared" si="2"/>
        <v>622461.94714533188</v>
      </c>
      <c r="AE9" s="277"/>
      <c r="AF9" s="261">
        <v>6</v>
      </c>
      <c r="AG9" s="460">
        <f t="shared" si="20"/>
        <v>5634000</v>
      </c>
      <c r="AH9" s="459">
        <f>AB9-NREL_OnlineCashFlow_SEA3.1!$H$66*1000*_WhAv/1000</f>
        <v>-576534.49915796262</v>
      </c>
      <c r="AI9" s="460">
        <f t="shared" si="21"/>
        <v>5057465.5008420376</v>
      </c>
      <c r="AJ9" s="466">
        <f t="shared" si="3"/>
        <v>574186.73599441804</v>
      </c>
      <c r="AK9" s="277"/>
      <c r="AL9" s="261">
        <v>6</v>
      </c>
      <c r="AM9" s="460">
        <f t="shared" ref="AM9" si="30">AM8</f>
        <v>5634000</v>
      </c>
      <c r="AN9" s="459">
        <f>AH9-NREL_OnlineCashFlow_SEA3.1!$H$40*1000*_WhAv/1000</f>
        <v>-685055.5094154611</v>
      </c>
      <c r="AO9" s="460">
        <f t="shared" si="23"/>
        <v>4948944.4905845392</v>
      </c>
      <c r="AP9" s="466">
        <f t="shared" si="4"/>
        <v>561866.07366737002</v>
      </c>
      <c r="AQ9" s="277"/>
      <c r="AR9" s="261">
        <v>6</v>
      </c>
      <c r="AS9" s="530">
        <f t="shared" ref="AS9:AT9" si="31">AS8</f>
        <v>5898780.8009392098</v>
      </c>
      <c r="AT9" s="529">
        <f>AN9</f>
        <v>-685055.5094154611</v>
      </c>
      <c r="AU9" s="264">
        <f t="shared" si="25"/>
        <v>5213725.291523749</v>
      </c>
      <c r="AV9" s="263">
        <f t="shared" si="5"/>
        <v>591927.30173110275</v>
      </c>
    </row>
    <row r="10" spans="1:48">
      <c r="A10" s="261">
        <v>7</v>
      </c>
      <c r="B10" s="369">
        <f t="shared" si="0"/>
        <v>7631.4090572772957</v>
      </c>
      <c r="C10" s="264">
        <f t="shared" si="9"/>
        <v>5634000</v>
      </c>
      <c r="D10" s="264">
        <f t="shared" si="9"/>
        <v>0</v>
      </c>
      <c r="E10" s="264">
        <f t="shared" si="10"/>
        <v>5634000</v>
      </c>
      <c r="F10" s="263">
        <f t="shared" si="6"/>
        <v>8043.2849747293694</v>
      </c>
      <c r="G10" s="268"/>
      <c r="H10" s="261">
        <v>7</v>
      </c>
      <c r="I10" s="264">
        <f t="shared" si="11"/>
        <v>5634000</v>
      </c>
      <c r="J10" s="264">
        <f t="shared" si="12"/>
        <v>0</v>
      </c>
      <c r="K10" s="264">
        <f t="shared" si="13"/>
        <v>5634000</v>
      </c>
      <c r="L10" s="263">
        <f t="shared" si="7"/>
        <v>445099.50098183524</v>
      </c>
      <c r="M10" s="268"/>
      <c r="N10" s="261">
        <v>7</v>
      </c>
      <c r="O10" s="264">
        <f t="shared" si="14"/>
        <v>5634000</v>
      </c>
      <c r="P10" s="264">
        <f t="shared" si="14"/>
        <v>-65000.455899111774</v>
      </c>
      <c r="Q10" s="264">
        <f t="shared" si="15"/>
        <v>5568999.5441008881</v>
      </c>
      <c r="R10" s="263">
        <f t="shared" si="8"/>
        <v>439964.30920258665</v>
      </c>
      <c r="S10" s="270"/>
      <c r="T10" s="261">
        <v>7</v>
      </c>
      <c r="U10" s="264">
        <f t="shared" si="16"/>
        <v>5634000</v>
      </c>
      <c r="V10" s="264">
        <f t="shared" si="16"/>
        <v>-73438.966783068958</v>
      </c>
      <c r="W10" s="264">
        <f t="shared" si="17"/>
        <v>5560561.0332169309</v>
      </c>
      <c r="X10" s="263">
        <f t="shared" si="1"/>
        <v>439297.64662120945</v>
      </c>
      <c r="Y10" s="277"/>
      <c r="Z10" s="261">
        <v>7</v>
      </c>
      <c r="AA10" s="264">
        <f t="shared" si="18"/>
        <v>5634000</v>
      </c>
      <c r="AB10" s="264">
        <f t="shared" si="18"/>
        <v>-151324.02382579673</v>
      </c>
      <c r="AC10" s="264">
        <f t="shared" si="19"/>
        <v>5482675.9761742037</v>
      </c>
      <c r="AD10" s="263">
        <f t="shared" si="2"/>
        <v>433144.54047572496</v>
      </c>
      <c r="AE10" s="277"/>
      <c r="AF10" s="261">
        <v>7</v>
      </c>
      <c r="AG10" s="460">
        <f t="shared" si="20"/>
        <v>5634000</v>
      </c>
      <c r="AH10" s="459">
        <f>AB10-NREL_OnlineCashFlow_SEA3.1!$I$66*1000*_WhAv/1000</f>
        <v>-558630.90019660839</v>
      </c>
      <c r="AI10" s="460">
        <f t="shared" si="21"/>
        <v>5075369.0998033918</v>
      </c>
      <c r="AJ10" s="466">
        <f t="shared" si="3"/>
        <v>400966.32119650621</v>
      </c>
      <c r="AK10" s="277"/>
      <c r="AL10" s="261">
        <v>7</v>
      </c>
      <c r="AM10" s="460">
        <f t="shared" ref="AM10" si="32">AM9</f>
        <v>5634000</v>
      </c>
      <c r="AN10" s="459">
        <f>AH10-NREL_OnlineCashFlow_SEA3.1!$I$40*1000*_WhAv/1000</f>
        <v>-674205.7761208443</v>
      </c>
      <c r="AO10" s="460">
        <f t="shared" si="23"/>
        <v>4959794.2238791557</v>
      </c>
      <c r="AP10" s="466">
        <f t="shared" si="4"/>
        <v>391835.62904174672</v>
      </c>
      <c r="AQ10" s="277"/>
      <c r="AR10" s="261">
        <v>7</v>
      </c>
      <c r="AS10" s="530">
        <f t="shared" ref="AS10:AT10" si="33">AS9</f>
        <v>5898780.8009392098</v>
      </c>
      <c r="AT10" s="529">
        <f>AN10</f>
        <v>-674205.7761208443</v>
      </c>
      <c r="AU10" s="264">
        <f t="shared" si="25"/>
        <v>5224575.0248183655</v>
      </c>
      <c r="AV10" s="263">
        <f t="shared" si="5"/>
        <v>412753.94682087575</v>
      </c>
    </row>
    <row r="11" spans="1:48">
      <c r="A11" s="261">
        <v>8</v>
      </c>
      <c r="B11" s="369">
        <f t="shared" si="0"/>
        <v>7631.4090572772957</v>
      </c>
      <c r="C11" s="264">
        <f t="shared" si="9"/>
        <v>5634000</v>
      </c>
      <c r="D11" s="264">
        <f t="shared" si="9"/>
        <v>0</v>
      </c>
      <c r="E11" s="264">
        <f t="shared" si="10"/>
        <v>5634000</v>
      </c>
      <c r="F11" s="263">
        <f t="shared" si="6"/>
        <v>3154.6422474063984</v>
      </c>
      <c r="G11" s="268"/>
      <c r="H11" s="261">
        <v>8</v>
      </c>
      <c r="I11" s="264">
        <f t="shared" si="11"/>
        <v>5634000</v>
      </c>
      <c r="J11" s="264">
        <f t="shared" si="12"/>
        <v>0</v>
      </c>
      <c r="K11" s="264">
        <f t="shared" si="13"/>
        <v>5634000</v>
      </c>
      <c r="L11" s="263">
        <f t="shared" si="7"/>
        <v>309725.63014159398</v>
      </c>
      <c r="M11" s="268"/>
      <c r="N11" s="261">
        <v>8</v>
      </c>
      <c r="O11" s="264">
        <f t="shared" si="14"/>
        <v>5634000</v>
      </c>
      <c r="P11" s="264">
        <f t="shared" si="14"/>
        <v>-65000.455899111774</v>
      </c>
      <c r="Q11" s="264">
        <f t="shared" si="15"/>
        <v>5568999.5441008881</v>
      </c>
      <c r="R11" s="263">
        <f t="shared" si="8"/>
        <v>306152.27068777016</v>
      </c>
      <c r="S11" s="270"/>
      <c r="T11" s="261">
        <v>8</v>
      </c>
      <c r="U11" s="264">
        <f t="shared" si="16"/>
        <v>5634000</v>
      </c>
      <c r="V11" s="264">
        <f t="shared" si="16"/>
        <v>-73438.966783068958</v>
      </c>
      <c r="W11" s="264">
        <f t="shared" si="17"/>
        <v>5560561.0332169309</v>
      </c>
      <c r="X11" s="263">
        <f t="shared" si="1"/>
        <v>305688.36882390961</v>
      </c>
      <c r="Y11" s="277"/>
      <c r="Z11" s="261">
        <v>8</v>
      </c>
      <c r="AA11" s="264">
        <f t="shared" si="18"/>
        <v>5634000</v>
      </c>
      <c r="AB11" s="264">
        <f t="shared" si="18"/>
        <v>-151324.02382579673</v>
      </c>
      <c r="AC11" s="264">
        <f t="shared" si="19"/>
        <v>5482675.9761742037</v>
      </c>
      <c r="AD11" s="263">
        <f t="shared" si="2"/>
        <v>301406.68647190882</v>
      </c>
      <c r="AE11" s="277"/>
      <c r="AF11" s="261">
        <v>8</v>
      </c>
      <c r="AG11" s="460">
        <f t="shared" si="20"/>
        <v>5634000</v>
      </c>
      <c r="AH11" s="459">
        <f>AB11-NREL_OnlineCashFlow_SEA3.1!$J$66*1000*_WhAv/1000</f>
        <v>-540727.30123525392</v>
      </c>
      <c r="AI11" s="460">
        <f t="shared" si="21"/>
        <v>5093272.6987647461</v>
      </c>
      <c r="AJ11" s="466">
        <f t="shared" si="3"/>
        <v>279999.4845771899</v>
      </c>
      <c r="AK11" s="277"/>
      <c r="AL11" s="261">
        <v>8</v>
      </c>
      <c r="AM11" s="460">
        <f t="shared" ref="AM11" si="34">AM10</f>
        <v>5634000</v>
      </c>
      <c r="AN11" s="459">
        <f>AH11-NREL_OnlineCashFlow_SEA3.1!$J$40*1000*_WhAv/1000</f>
        <v>-662606.26130081178</v>
      </c>
      <c r="AO11" s="460">
        <f t="shared" si="23"/>
        <v>4971393.7386991885</v>
      </c>
      <c r="AP11" s="466">
        <f t="shared" si="4"/>
        <v>273299.2648918319</v>
      </c>
      <c r="AQ11" s="277"/>
      <c r="AR11" s="261">
        <v>8</v>
      </c>
      <c r="AS11" s="530">
        <f t="shared" ref="AS11:AT11" si="35">AS10</f>
        <v>5898780.8009392098</v>
      </c>
      <c r="AT11" s="529">
        <f>AN11</f>
        <v>-662606.26130081178</v>
      </c>
      <c r="AU11" s="264">
        <f t="shared" si="25"/>
        <v>5236174.5396383982</v>
      </c>
      <c r="AV11" s="263">
        <f t="shared" si="5"/>
        <v>287855.42400086502</v>
      </c>
    </row>
    <row r="12" spans="1:48">
      <c r="A12" s="261">
        <v>9</v>
      </c>
      <c r="B12" s="369">
        <f t="shared" si="0"/>
        <v>7631.4090572772957</v>
      </c>
      <c r="C12" s="264">
        <f t="shared" si="9"/>
        <v>5634000</v>
      </c>
      <c r="D12" s="264">
        <f t="shared" si="9"/>
        <v>0</v>
      </c>
      <c r="E12" s="264">
        <f t="shared" si="10"/>
        <v>5634000</v>
      </c>
      <c r="F12" s="263">
        <f t="shared" si="6"/>
        <v>1237.2765282329358</v>
      </c>
      <c r="G12" s="268"/>
      <c r="H12" s="261">
        <v>9</v>
      </c>
      <c r="I12" s="264">
        <f t="shared" si="11"/>
        <v>5634000</v>
      </c>
      <c r="J12" s="264">
        <f t="shared" si="12"/>
        <v>0</v>
      </c>
      <c r="K12" s="264">
        <f t="shared" si="13"/>
        <v>5634000</v>
      </c>
      <c r="L12" s="263">
        <f t="shared" si="7"/>
        <v>215524.76638369099</v>
      </c>
      <c r="M12" s="268"/>
      <c r="N12" s="261">
        <v>9</v>
      </c>
      <c r="O12" s="264">
        <f t="shared" si="14"/>
        <v>5634000</v>
      </c>
      <c r="P12" s="264">
        <f t="shared" si="14"/>
        <v>-65000.455899111774</v>
      </c>
      <c r="Q12" s="264">
        <f t="shared" si="15"/>
        <v>5568999.5441008881</v>
      </c>
      <c r="R12" s="263">
        <f t="shared" si="8"/>
        <v>213038.21897998321</v>
      </c>
      <c r="S12" s="270"/>
      <c r="T12" s="261">
        <v>9</v>
      </c>
      <c r="U12" s="264">
        <f t="shared" si="16"/>
        <v>5634000</v>
      </c>
      <c r="V12" s="264">
        <f t="shared" si="16"/>
        <v>-73438.966783068958</v>
      </c>
      <c r="W12" s="264">
        <f t="shared" si="17"/>
        <v>5560561.0332169309</v>
      </c>
      <c r="X12" s="263">
        <f t="shared" si="1"/>
        <v>212715.40959288861</v>
      </c>
      <c r="Y12" s="277"/>
      <c r="Z12" s="261">
        <v>9</v>
      </c>
      <c r="AA12" s="264">
        <f t="shared" si="18"/>
        <v>5634000</v>
      </c>
      <c r="AB12" s="264">
        <f t="shared" si="18"/>
        <v>-151324.02382579673</v>
      </c>
      <c r="AC12" s="264">
        <f t="shared" si="19"/>
        <v>5482675.9761742037</v>
      </c>
      <c r="AD12" s="263">
        <f t="shared" si="2"/>
        <v>209735.9706997551</v>
      </c>
      <c r="AE12" s="277"/>
      <c r="AF12" s="261">
        <v>9</v>
      </c>
      <c r="AG12" s="460">
        <f t="shared" si="20"/>
        <v>5634000</v>
      </c>
      <c r="AH12" s="459">
        <f>AB12-NREL_OnlineCashFlow_SEA3.1!$K$66*1000*_WhAv/1000</f>
        <v>-520585.75240373035</v>
      </c>
      <c r="AI12" s="460">
        <f t="shared" si="21"/>
        <v>5113414.2475962695</v>
      </c>
      <c r="AJ12" s="466">
        <f t="shared" si="3"/>
        <v>195610.11912251028</v>
      </c>
      <c r="AK12" s="277"/>
      <c r="AL12" s="261">
        <v>9</v>
      </c>
      <c r="AM12" s="460">
        <f t="shared" ref="AM12" si="36">AM11</f>
        <v>5634000</v>
      </c>
      <c r="AN12" s="459">
        <f>AH12-NREL_OnlineCashFlow_SEA3.1!$K$40*1000*_WhAv/1000</f>
        <v>-650870.15799105074</v>
      </c>
      <c r="AO12" s="460">
        <f t="shared" si="23"/>
        <v>4983129.8420089493</v>
      </c>
      <c r="AP12" s="466">
        <f t="shared" si="4"/>
        <v>190626.17945661658</v>
      </c>
      <c r="AQ12" s="277"/>
      <c r="AR12" s="261">
        <v>9</v>
      </c>
      <c r="AS12" s="530">
        <f t="shared" ref="AS12:AT12" si="37">AS11</f>
        <v>5898780.8009392098</v>
      </c>
      <c r="AT12" s="529">
        <f>AN12</f>
        <v>-650870.15799105074</v>
      </c>
      <c r="AU12" s="264">
        <f t="shared" si="25"/>
        <v>5247910.642948159</v>
      </c>
      <c r="AV12" s="263">
        <f t="shared" si="5"/>
        <v>200755.18553849618</v>
      </c>
    </row>
    <row r="13" spans="1:48">
      <c r="A13" s="261">
        <v>10</v>
      </c>
      <c r="B13" s="369">
        <f t="shared" si="0"/>
        <v>7631.4090572772957</v>
      </c>
      <c r="C13" s="264">
        <f t="shared" si="9"/>
        <v>5634000</v>
      </c>
      <c r="D13" s="264">
        <f t="shared" si="9"/>
        <v>0</v>
      </c>
      <c r="E13" s="264">
        <f t="shared" si="10"/>
        <v>5634000</v>
      </c>
      <c r="F13" s="263">
        <f t="shared" si="6"/>
        <v>485.26998856201334</v>
      </c>
      <c r="G13" s="268"/>
      <c r="H13" s="261">
        <v>10</v>
      </c>
      <c r="I13" s="264">
        <f t="shared" si="11"/>
        <v>5634000</v>
      </c>
      <c r="J13" s="264">
        <f t="shared" si="12"/>
        <v>0</v>
      </c>
      <c r="K13" s="264">
        <f t="shared" si="13"/>
        <v>5634000</v>
      </c>
      <c r="L13" s="263">
        <f t="shared" si="7"/>
        <v>149974.43028369691</v>
      </c>
      <c r="M13" s="268"/>
      <c r="N13" s="261">
        <v>10</v>
      </c>
      <c r="O13" s="264">
        <f t="shared" si="14"/>
        <v>5634000</v>
      </c>
      <c r="P13" s="264">
        <f t="shared" si="14"/>
        <v>-65000.455899111774</v>
      </c>
      <c r="Q13" s="264">
        <f t="shared" si="15"/>
        <v>5568999.5441008881</v>
      </c>
      <c r="R13" s="263">
        <f t="shared" si="8"/>
        <v>148244.14871790886</v>
      </c>
      <c r="S13" s="270"/>
      <c r="T13" s="261">
        <v>10</v>
      </c>
      <c r="U13" s="264">
        <f t="shared" si="16"/>
        <v>5634000</v>
      </c>
      <c r="V13" s="264">
        <f t="shared" si="16"/>
        <v>-73438.966783068958</v>
      </c>
      <c r="W13" s="264">
        <f t="shared" si="17"/>
        <v>5560561.0332169309</v>
      </c>
      <c r="X13" s="263">
        <f t="shared" si="1"/>
        <v>148019.51952687863</v>
      </c>
      <c r="Y13" s="277"/>
      <c r="Z13" s="261">
        <v>10</v>
      </c>
      <c r="AA13" s="264">
        <f t="shared" si="18"/>
        <v>5634000</v>
      </c>
      <c r="AB13" s="264">
        <f t="shared" si="18"/>
        <v>-151324.02382579673</v>
      </c>
      <c r="AC13" s="264">
        <f t="shared" si="19"/>
        <v>5482675.9761742037</v>
      </c>
      <c r="AD13" s="263">
        <f t="shared" si="2"/>
        <v>145946.2559383809</v>
      </c>
      <c r="AE13" s="277"/>
      <c r="AF13" s="261">
        <v>10</v>
      </c>
      <c r="AG13" s="460">
        <f t="shared" si="20"/>
        <v>5634000</v>
      </c>
      <c r="AH13" s="459">
        <f>AB13-NREL_OnlineCashFlow_SEA3.1!$L$66*1000*_WhAv/1000</f>
        <v>-500444.20357220666</v>
      </c>
      <c r="AI13" s="460">
        <f t="shared" si="21"/>
        <v>5133555.7964277938</v>
      </c>
      <c r="AJ13" s="466">
        <f t="shared" si="3"/>
        <v>136652.84094760884</v>
      </c>
      <c r="AK13" s="277"/>
      <c r="AL13" s="261">
        <v>10</v>
      </c>
      <c r="AM13" s="460">
        <f t="shared" ref="AM13:AM14" si="38">AM12</f>
        <v>5634000</v>
      </c>
      <c r="AN13" s="459">
        <f>AH13-NREL_OnlineCashFlow_SEA3.1!$L$40*1000*_WhAv/1000</f>
        <v>-641235.41606173036</v>
      </c>
      <c r="AO13" s="460">
        <f t="shared" si="23"/>
        <v>4992764.5839382699</v>
      </c>
      <c r="AP13" s="466">
        <f t="shared" si="4"/>
        <v>132905.04508639706</v>
      </c>
      <c r="AQ13" s="277"/>
      <c r="AR13" s="261">
        <v>10</v>
      </c>
      <c r="AS13" s="530">
        <f t="shared" ref="AS13:AT13" si="39">AS12</f>
        <v>5898780.8009392098</v>
      </c>
      <c r="AT13" s="529">
        <f>AN13</f>
        <v>-641235.41606173036</v>
      </c>
      <c r="AU13" s="264">
        <f t="shared" si="25"/>
        <v>5257545.3848774796</v>
      </c>
      <c r="AV13" s="263">
        <f t="shared" si="5"/>
        <v>139953.38547882144</v>
      </c>
    </row>
    <row r="14" spans="1:48">
      <c r="A14" s="261">
        <v>11</v>
      </c>
      <c r="B14" s="369">
        <f t="shared" si="0"/>
        <v>7631.4090572772957</v>
      </c>
      <c r="C14" s="264">
        <f t="shared" si="9"/>
        <v>5634000</v>
      </c>
      <c r="D14" s="264">
        <f t="shared" si="9"/>
        <v>0</v>
      </c>
      <c r="E14" s="264">
        <f t="shared" si="10"/>
        <v>5634000</v>
      </c>
      <c r="F14" s="263">
        <f t="shared" si="6"/>
        <v>190.3268642259757</v>
      </c>
      <c r="G14" s="268"/>
      <c r="H14" s="261">
        <v>11</v>
      </c>
      <c r="I14" s="264">
        <f t="shared" si="11"/>
        <v>5634000</v>
      </c>
      <c r="J14" s="264">
        <f t="shared" si="12"/>
        <v>0</v>
      </c>
      <c r="K14" s="264">
        <f t="shared" si="13"/>
        <v>5634000</v>
      </c>
      <c r="L14" s="263">
        <f t="shared" si="7"/>
        <v>104360.76612595498</v>
      </c>
      <c r="M14" s="268"/>
      <c r="N14" s="261">
        <v>11</v>
      </c>
      <c r="O14" s="264">
        <f t="shared" si="14"/>
        <v>5634000</v>
      </c>
      <c r="P14" s="264">
        <f t="shared" si="14"/>
        <v>-65000.455899111774</v>
      </c>
      <c r="Q14" s="264">
        <f t="shared" si="15"/>
        <v>5568999.5441008881</v>
      </c>
      <c r="R14" s="263">
        <f t="shared" si="8"/>
        <v>103156.73748268773</v>
      </c>
      <c r="S14" s="270"/>
      <c r="T14" s="261">
        <v>11</v>
      </c>
      <c r="U14" s="264">
        <f t="shared" si="16"/>
        <v>5634000</v>
      </c>
      <c r="V14" s="264">
        <f t="shared" si="16"/>
        <v>-73438.966783068958</v>
      </c>
      <c r="W14" s="264">
        <f t="shared" si="17"/>
        <v>5560561.0332169309</v>
      </c>
      <c r="X14" s="263">
        <f t="shared" si="1"/>
        <v>103000.42767423691</v>
      </c>
      <c r="Y14" s="277"/>
      <c r="Z14" s="261">
        <v>11</v>
      </c>
      <c r="AA14" s="264">
        <f t="shared" si="18"/>
        <v>5634000</v>
      </c>
      <c r="AB14" s="264">
        <f t="shared" si="18"/>
        <v>-151324.02382579673</v>
      </c>
      <c r="AC14" s="264">
        <f t="shared" si="19"/>
        <v>5482675.9761742037</v>
      </c>
      <c r="AD14" s="263">
        <f t="shared" si="2"/>
        <v>101557.73256902875</v>
      </c>
      <c r="AE14" s="277"/>
      <c r="AF14" s="261">
        <v>11</v>
      </c>
      <c r="AG14" s="460">
        <f t="shared" si="20"/>
        <v>5634000</v>
      </c>
      <c r="AH14" s="459">
        <f>AB14-NREL_OnlineCashFlow_SEA3.1!$M$66*1000*_WhAv/1000</f>
        <v>-478064.70487051376</v>
      </c>
      <c r="AI14" s="460">
        <f t="shared" si="21"/>
        <v>5155935.2951294864</v>
      </c>
      <c r="AJ14" s="466">
        <f t="shared" si="3"/>
        <v>95505.388266873444</v>
      </c>
      <c r="AK14" s="277"/>
      <c r="AL14" s="261">
        <v>11</v>
      </c>
      <c r="AM14" s="460">
        <f t="shared" si="38"/>
        <v>5634000</v>
      </c>
      <c r="AN14" s="459">
        <f>AH14-NREL_OnlineCashFlow_SEA3.1!$M$40*1000*_WhAv/1000</f>
        <v>-627261.36288180004</v>
      </c>
      <c r="AO14" s="460">
        <f t="shared" si="23"/>
        <v>5006738.6371181998</v>
      </c>
      <c r="AP14" s="466">
        <f t="shared" si="4"/>
        <v>92741.760731642717</v>
      </c>
      <c r="AQ14" s="277"/>
      <c r="AR14" s="261">
        <v>11</v>
      </c>
      <c r="AS14" s="264">
        <f>AM14</f>
        <v>5634000</v>
      </c>
      <c r="AT14" s="529">
        <f>AN14</f>
        <v>-627261.36288180004</v>
      </c>
      <c r="AU14" s="264">
        <f t="shared" si="25"/>
        <v>5006738.6371181998</v>
      </c>
      <c r="AV14" s="263">
        <f t="shared" si="5"/>
        <v>92741.760731642717</v>
      </c>
    </row>
    <row r="15" spans="1:48">
      <c r="A15" s="261">
        <v>12</v>
      </c>
      <c r="B15" s="369">
        <f t="shared" si="0"/>
        <v>7631.4090572772957</v>
      </c>
      <c r="C15" s="264">
        <f t="shared" si="9"/>
        <v>5634000</v>
      </c>
      <c r="D15" s="264">
        <f t="shared" si="9"/>
        <v>0</v>
      </c>
      <c r="E15" s="264">
        <f t="shared" si="10"/>
        <v>5634000</v>
      </c>
      <c r="F15" s="263">
        <f t="shared" si="6"/>
        <v>74.647755064011804</v>
      </c>
      <c r="G15" s="268"/>
      <c r="H15" s="261">
        <v>12</v>
      </c>
      <c r="I15" s="264">
        <f t="shared" si="11"/>
        <v>5634000</v>
      </c>
      <c r="J15" s="264">
        <f t="shared" si="12"/>
        <v>0</v>
      </c>
      <c r="K15" s="264">
        <f t="shared" si="13"/>
        <v>5634000</v>
      </c>
      <c r="L15" s="263">
        <f t="shared" si="7"/>
        <v>72620.175891277977</v>
      </c>
      <c r="M15" s="268"/>
      <c r="N15" s="261">
        <v>12</v>
      </c>
      <c r="O15" s="264">
        <f t="shared" si="14"/>
        <v>5634000</v>
      </c>
      <c r="P15" s="264">
        <f t="shared" si="14"/>
        <v>-65000.455899111774</v>
      </c>
      <c r="Q15" s="264">
        <f t="shared" si="15"/>
        <v>5568999.5441008881</v>
      </c>
      <c r="R15" s="263">
        <f t="shared" si="8"/>
        <v>71782.344059469891</v>
      </c>
      <c r="S15" s="270"/>
      <c r="T15" s="261">
        <v>12</v>
      </c>
      <c r="U15" s="264">
        <f t="shared" si="16"/>
        <v>5634000</v>
      </c>
      <c r="V15" s="264">
        <f t="shared" si="16"/>
        <v>-73438.966783068958</v>
      </c>
      <c r="W15" s="264">
        <f t="shared" si="17"/>
        <v>5560561.0332169309</v>
      </c>
      <c r="X15" s="263">
        <f t="shared" si="1"/>
        <v>71673.574775718836</v>
      </c>
      <c r="Y15" s="277"/>
      <c r="Z15" s="261">
        <v>12</v>
      </c>
      <c r="AA15" s="264">
        <f t="shared" si="18"/>
        <v>5634000</v>
      </c>
      <c r="AB15" s="264">
        <f t="shared" si="18"/>
        <v>-151324.02382579673</v>
      </c>
      <c r="AC15" s="264">
        <f t="shared" si="19"/>
        <v>5482675.9761742037</v>
      </c>
      <c r="AD15" s="263">
        <f t="shared" si="2"/>
        <v>70669.665201394178</v>
      </c>
      <c r="AE15" s="277"/>
      <c r="AF15" s="261">
        <v>12</v>
      </c>
      <c r="AG15" s="460">
        <f t="shared" si="20"/>
        <v>5634000</v>
      </c>
      <c r="AH15" s="459">
        <f>AB15-NREL_OnlineCashFlow_SEA3.1!$N$66*1000*_WhAv/1000</f>
        <v>-453447.25629865151</v>
      </c>
      <c r="AI15" s="460">
        <f t="shared" si="21"/>
        <v>5180552.7437013481</v>
      </c>
      <c r="AJ15" s="466">
        <f t="shared" si="3"/>
        <v>66775.408495142809</v>
      </c>
      <c r="AK15" s="277"/>
      <c r="AL15" s="261">
        <v>12</v>
      </c>
      <c r="AM15" s="460">
        <f t="shared" ref="AM15" si="40">AM14</f>
        <v>5634000</v>
      </c>
      <c r="AN15" s="459">
        <f>AH15-NREL_OnlineCashFlow_SEA3.1!$N$40*1000*_WhAv/1000</f>
        <v>-613150.7212121411</v>
      </c>
      <c r="AO15" s="460">
        <f t="shared" si="23"/>
        <v>5020849.2787878588</v>
      </c>
      <c r="AP15" s="466">
        <f t="shared" si="4"/>
        <v>64716.88990933093</v>
      </c>
      <c r="AQ15" s="277"/>
      <c r="AR15" s="261">
        <v>12</v>
      </c>
      <c r="AS15" s="264">
        <f t="shared" ref="AS15:AT15" si="41">AS14</f>
        <v>5634000</v>
      </c>
      <c r="AT15" s="529">
        <f>AN15</f>
        <v>-613150.7212121411</v>
      </c>
      <c r="AU15" s="264">
        <f t="shared" si="25"/>
        <v>5020849.2787878588</v>
      </c>
      <c r="AV15" s="263">
        <f t="shared" si="5"/>
        <v>64716.88990933093</v>
      </c>
    </row>
    <row r="16" spans="1:48">
      <c r="A16" s="261">
        <v>13</v>
      </c>
      <c r="B16" s="369">
        <f t="shared" si="0"/>
        <v>7631.4090572772957</v>
      </c>
      <c r="C16" s="264">
        <f t="shared" si="9"/>
        <v>5634000</v>
      </c>
      <c r="D16" s="264">
        <f t="shared" si="9"/>
        <v>0</v>
      </c>
      <c r="E16" s="264">
        <f t="shared" si="10"/>
        <v>5634000</v>
      </c>
      <c r="F16" s="263">
        <f t="shared" si="6"/>
        <v>29.277460955173964</v>
      </c>
      <c r="G16" s="268"/>
      <c r="H16" s="261">
        <v>13</v>
      </c>
      <c r="I16" s="264">
        <f t="shared" si="11"/>
        <v>5634000</v>
      </c>
      <c r="J16" s="264">
        <f t="shared" si="12"/>
        <v>0</v>
      </c>
      <c r="K16" s="264">
        <f t="shared" si="13"/>
        <v>5634000</v>
      </c>
      <c r="L16" s="263">
        <f t="shared" si="7"/>
        <v>50533.262089272452</v>
      </c>
      <c r="M16" s="268"/>
      <c r="N16" s="261">
        <v>13</v>
      </c>
      <c r="O16" s="264">
        <f t="shared" si="14"/>
        <v>5634000</v>
      </c>
      <c r="P16" s="264">
        <f t="shared" si="14"/>
        <v>-65000.455899111774</v>
      </c>
      <c r="Q16" s="264">
        <f t="shared" si="15"/>
        <v>5568999.5441008881</v>
      </c>
      <c r="R16" s="263">
        <f t="shared" si="8"/>
        <v>49950.250894052006</v>
      </c>
      <c r="S16" s="270"/>
      <c r="T16" s="261">
        <v>13</v>
      </c>
      <c r="U16" s="264">
        <f t="shared" si="16"/>
        <v>5634000</v>
      </c>
      <c r="V16" s="264">
        <f t="shared" si="16"/>
        <v>-73438.966783068958</v>
      </c>
      <c r="W16" s="264">
        <f t="shared" si="17"/>
        <v>5560561.0332169309</v>
      </c>
      <c r="X16" s="263">
        <f t="shared" si="1"/>
        <v>49874.563020047353</v>
      </c>
      <c r="Y16" s="277"/>
      <c r="Z16" s="261">
        <v>13</v>
      </c>
      <c r="AA16" s="264">
        <f t="shared" si="18"/>
        <v>5634000</v>
      </c>
      <c r="AB16" s="264">
        <f t="shared" si="18"/>
        <v>-151324.02382579673</v>
      </c>
      <c r="AC16" s="264">
        <f t="shared" si="19"/>
        <v>5482675.9761742037</v>
      </c>
      <c r="AD16" s="263">
        <f t="shared" si="2"/>
        <v>49175.985455195019</v>
      </c>
      <c r="AE16" s="277"/>
      <c r="AF16" s="261">
        <v>13</v>
      </c>
      <c r="AG16" s="460">
        <f t="shared" si="20"/>
        <v>5634000</v>
      </c>
      <c r="AH16" s="459">
        <f>AB16-NREL_OnlineCashFlow_SEA3.1!$O$66*1000*_WhAv/1000</f>
        <v>-428829.80772678927</v>
      </c>
      <c r="AI16" s="460">
        <f t="shared" si="21"/>
        <v>5205170.1922732107</v>
      </c>
      <c r="AJ16" s="466">
        <f t="shared" si="3"/>
        <v>46686.941701350879</v>
      </c>
      <c r="AK16" s="277"/>
      <c r="AL16" s="261">
        <v>13</v>
      </c>
      <c r="AM16" s="460">
        <f t="shared" ref="AM16" si="42">AM15</f>
        <v>5634000</v>
      </c>
      <c r="AN16" s="459">
        <f>AH16-NREL_OnlineCashFlow_SEA3.1!$O$40*1000*_WhAv/1000</f>
        <v>-599040.07954248204</v>
      </c>
      <c r="AO16" s="460">
        <f t="shared" si="23"/>
        <v>5034959.9204575177</v>
      </c>
      <c r="AP16" s="466">
        <f t="shared" si="4"/>
        <v>45160.267885953523</v>
      </c>
      <c r="AQ16" s="277"/>
      <c r="AR16" s="261">
        <v>13</v>
      </c>
      <c r="AS16" s="264">
        <f t="shared" ref="AS16:AT16" si="43">AS15</f>
        <v>5634000</v>
      </c>
      <c r="AT16" s="529">
        <f>AN16</f>
        <v>-599040.07954248204</v>
      </c>
      <c r="AU16" s="264">
        <f t="shared" si="25"/>
        <v>5034959.9204575177</v>
      </c>
      <c r="AV16" s="263">
        <f t="shared" si="5"/>
        <v>45160.267885953523</v>
      </c>
    </row>
    <row r="17" spans="1:48">
      <c r="A17" s="261">
        <v>14</v>
      </c>
      <c r="B17" s="369">
        <f t="shared" si="0"/>
        <v>7631.4090572772957</v>
      </c>
      <c r="C17" s="264">
        <f t="shared" si="9"/>
        <v>5634000</v>
      </c>
      <c r="D17" s="264">
        <f t="shared" si="9"/>
        <v>0</v>
      </c>
      <c r="E17" s="264">
        <f t="shared" si="10"/>
        <v>5634000</v>
      </c>
      <c r="F17" s="263">
        <f t="shared" si="6"/>
        <v>11.482859990185876</v>
      </c>
      <c r="G17" s="268"/>
      <c r="H17" s="261">
        <v>14</v>
      </c>
      <c r="I17" s="264">
        <f t="shared" si="11"/>
        <v>5634000</v>
      </c>
      <c r="J17" s="264">
        <f t="shared" si="12"/>
        <v>0</v>
      </c>
      <c r="K17" s="264">
        <f t="shared" si="13"/>
        <v>5634000</v>
      </c>
      <c r="L17" s="263">
        <f t="shared" si="7"/>
        <v>35163.927187482914</v>
      </c>
      <c r="M17" s="268"/>
      <c r="N17" s="261">
        <v>14</v>
      </c>
      <c r="O17" s="264">
        <f t="shared" si="14"/>
        <v>5634000</v>
      </c>
      <c r="P17" s="264">
        <f t="shared" si="14"/>
        <v>-65000.455899111774</v>
      </c>
      <c r="Q17" s="264">
        <f t="shared" si="15"/>
        <v>5568999.5441008881</v>
      </c>
      <c r="R17" s="263">
        <f t="shared" si="8"/>
        <v>34758.234731254735</v>
      </c>
      <c r="S17" s="270"/>
      <c r="T17" s="261">
        <v>14</v>
      </c>
      <c r="U17" s="264">
        <f t="shared" si="16"/>
        <v>5634000</v>
      </c>
      <c r="V17" s="264">
        <f t="shared" si="16"/>
        <v>-73438.966783068958</v>
      </c>
      <c r="W17" s="264">
        <f t="shared" si="17"/>
        <v>5560561.0332169309</v>
      </c>
      <c r="X17" s="263">
        <f t="shared" si="1"/>
        <v>34705.566789775454</v>
      </c>
      <c r="Y17" s="277"/>
      <c r="Z17" s="261">
        <v>14</v>
      </c>
      <c r="AA17" s="264">
        <f t="shared" si="18"/>
        <v>5634000</v>
      </c>
      <c r="AB17" s="264">
        <f t="shared" si="18"/>
        <v>-151324.02382579673</v>
      </c>
      <c r="AC17" s="264">
        <f t="shared" si="19"/>
        <v>5482675.9761742037</v>
      </c>
      <c r="AD17" s="263">
        <f t="shared" si="2"/>
        <v>34219.456659345313</v>
      </c>
      <c r="AE17" s="277"/>
      <c r="AF17" s="261">
        <v>14</v>
      </c>
      <c r="AG17" s="460">
        <f t="shared" si="20"/>
        <v>5634000</v>
      </c>
      <c r="AH17" s="459">
        <f>AB17-NREL_OnlineCashFlow_SEA3.1!$P$66*1000*_WhAv/1000</f>
        <v>-401974.40928475774</v>
      </c>
      <c r="AI17" s="460">
        <f t="shared" si="21"/>
        <v>5232025.5907152425</v>
      </c>
      <c r="AJ17" s="466">
        <f t="shared" si="3"/>
        <v>32655.052700560536</v>
      </c>
      <c r="AK17" s="277"/>
      <c r="AL17" s="261">
        <v>14</v>
      </c>
      <c r="AM17" s="460">
        <f t="shared" ref="AM17" si="44">AM16</f>
        <v>5634000</v>
      </c>
      <c r="AN17" s="459">
        <f>AH17-NREL_OnlineCashFlow_SEA3.1!$P$40*1000*_WhAv/1000</f>
        <v>-582691.48800265382</v>
      </c>
      <c r="AO17" s="460">
        <f t="shared" si="23"/>
        <v>5051308.5119973458</v>
      </c>
      <c r="AP17" s="466">
        <f t="shared" si="4"/>
        <v>31527.128987821678</v>
      </c>
      <c r="AQ17" s="277"/>
      <c r="AR17" s="261">
        <v>14</v>
      </c>
      <c r="AS17" s="264">
        <f t="shared" ref="AS17:AT17" si="45">AS16</f>
        <v>5634000</v>
      </c>
      <c r="AT17" s="529">
        <f>AN17</f>
        <v>-582691.48800265382</v>
      </c>
      <c r="AU17" s="264">
        <f t="shared" si="25"/>
        <v>5051308.5119973458</v>
      </c>
      <c r="AV17" s="263">
        <f t="shared" si="5"/>
        <v>31527.128987821678</v>
      </c>
    </row>
    <row r="18" spans="1:48">
      <c r="A18" s="261">
        <v>15</v>
      </c>
      <c r="B18" s="369">
        <f t="shared" si="0"/>
        <v>7631.4090572772957</v>
      </c>
      <c r="C18" s="264">
        <f t="shared" si="9"/>
        <v>5634000</v>
      </c>
      <c r="D18" s="264">
        <f t="shared" si="9"/>
        <v>0</v>
      </c>
      <c r="E18" s="264">
        <f t="shared" si="10"/>
        <v>5634000</v>
      </c>
      <c r="F18" s="263">
        <f t="shared" si="6"/>
        <v>4.5036717410739033</v>
      </c>
      <c r="G18" s="268"/>
      <c r="H18" s="261">
        <v>15</v>
      </c>
      <c r="I18" s="264">
        <f t="shared" si="11"/>
        <v>5634000</v>
      </c>
      <c r="J18" s="264">
        <f t="shared" si="12"/>
        <v>0</v>
      </c>
      <c r="K18" s="264">
        <f t="shared" si="13"/>
        <v>5634000</v>
      </c>
      <c r="L18" s="263">
        <f t="shared" si="7"/>
        <v>24469.066989227536</v>
      </c>
      <c r="M18" s="268"/>
      <c r="N18" s="261">
        <v>15</v>
      </c>
      <c r="O18" s="264">
        <f t="shared" si="14"/>
        <v>5634000</v>
      </c>
      <c r="P18" s="264">
        <f t="shared" si="14"/>
        <v>-65000.455899111774</v>
      </c>
      <c r="Q18" s="264">
        <f t="shared" si="15"/>
        <v>5568999.5441008881</v>
      </c>
      <c r="R18" s="263">
        <f t="shared" si="8"/>
        <v>24186.763029389818</v>
      </c>
      <c r="S18" s="270"/>
      <c r="T18" s="261">
        <v>15</v>
      </c>
      <c r="U18" s="264">
        <f t="shared" si="16"/>
        <v>5634000</v>
      </c>
      <c r="V18" s="264">
        <f t="shared" si="16"/>
        <v>-73438.966783068958</v>
      </c>
      <c r="W18" s="264">
        <f t="shared" si="17"/>
        <v>5560561.0332169309</v>
      </c>
      <c r="X18" s="263">
        <f t="shared" si="1"/>
        <v>24150.113670478055</v>
      </c>
      <c r="Y18" s="277"/>
      <c r="Z18" s="261">
        <v>15</v>
      </c>
      <c r="AA18" s="264">
        <f t="shared" si="18"/>
        <v>5634000</v>
      </c>
      <c r="AB18" s="264">
        <f t="shared" si="18"/>
        <v>-151324.02382579673</v>
      </c>
      <c r="AC18" s="264">
        <f t="shared" si="19"/>
        <v>5482675.9761742037</v>
      </c>
      <c r="AD18" s="263">
        <f t="shared" si="2"/>
        <v>23811.850504301572</v>
      </c>
      <c r="AE18" s="277"/>
      <c r="AF18" s="261">
        <v>15</v>
      </c>
      <c r="AG18" s="460">
        <f t="shared" si="20"/>
        <v>5634000</v>
      </c>
      <c r="AH18" s="459">
        <f>AB18-NREL_OnlineCashFlow_SEA3.1!$Q$66*1000*_WhAv/1000</f>
        <v>-372881.06097255694</v>
      </c>
      <c r="AI18" s="460">
        <f t="shared" si="21"/>
        <v>5261118.9390274435</v>
      </c>
      <c r="AJ18" s="466">
        <f t="shared" si="3"/>
        <v>22849.604500773203</v>
      </c>
      <c r="AK18" s="277"/>
      <c r="AL18" s="261">
        <v>15</v>
      </c>
      <c r="AM18" s="460">
        <f t="shared" ref="AM18" si="46">AM17</f>
        <v>5634000</v>
      </c>
      <c r="AN18" s="459">
        <f>AH18-NREL_OnlineCashFlow_SEA3.1!$Q$40*1000*_WhAv/1000</f>
        <v>-566206.30797309696</v>
      </c>
      <c r="AO18" s="460">
        <f t="shared" si="23"/>
        <v>5067793.6920269029</v>
      </c>
      <c r="AP18" s="466">
        <f t="shared" si="4"/>
        <v>22009.972193431138</v>
      </c>
      <c r="AQ18" s="277"/>
      <c r="AR18" s="261">
        <v>15</v>
      </c>
      <c r="AS18" s="264">
        <f t="shared" ref="AS18:AT18" si="47">AS17</f>
        <v>5634000</v>
      </c>
      <c r="AT18" s="529">
        <f>AN18</f>
        <v>-566206.30797309696</v>
      </c>
      <c r="AU18" s="264">
        <f t="shared" si="25"/>
        <v>5067793.6920269029</v>
      </c>
      <c r="AV18" s="263">
        <f t="shared" si="5"/>
        <v>22009.972193431138</v>
      </c>
    </row>
    <row r="19" spans="1:48">
      <c r="A19" s="261">
        <v>16</v>
      </c>
      <c r="B19" s="369">
        <f t="shared" si="0"/>
        <v>7631.4090572772957</v>
      </c>
      <c r="C19" s="264">
        <f t="shared" si="9"/>
        <v>5634000</v>
      </c>
      <c r="D19" s="264">
        <f t="shared" si="9"/>
        <v>0</v>
      </c>
      <c r="E19" s="264">
        <f t="shared" si="10"/>
        <v>5634000</v>
      </c>
      <c r="F19" s="263">
        <f t="shared" si="6"/>
        <v>1.7663769451759479</v>
      </c>
      <c r="G19" s="268"/>
      <c r="H19" s="261">
        <v>16</v>
      </c>
      <c r="I19" s="264">
        <f t="shared" si="11"/>
        <v>5634000</v>
      </c>
      <c r="J19" s="264">
        <f t="shared" si="12"/>
        <v>0</v>
      </c>
      <c r="K19" s="264">
        <f t="shared" si="13"/>
        <v>5634000</v>
      </c>
      <c r="L19" s="263">
        <f t="shared" si="7"/>
        <v>17026.973015017302</v>
      </c>
      <c r="M19" s="268"/>
      <c r="N19" s="261">
        <v>16</v>
      </c>
      <c r="O19" s="264">
        <f t="shared" si="14"/>
        <v>5634000</v>
      </c>
      <c r="P19" s="264">
        <f t="shared" si="14"/>
        <v>-65000.455899111774</v>
      </c>
      <c r="Q19" s="264">
        <f t="shared" si="15"/>
        <v>5568999.5441008881</v>
      </c>
      <c r="R19" s="263">
        <f t="shared" si="8"/>
        <v>16830.52981151038</v>
      </c>
      <c r="S19" s="270"/>
      <c r="T19" s="261">
        <v>16</v>
      </c>
      <c r="U19" s="264">
        <f t="shared" si="16"/>
        <v>5634000</v>
      </c>
      <c r="V19" s="264">
        <f t="shared" si="16"/>
        <v>-73438.966783068958</v>
      </c>
      <c r="W19" s="264">
        <f t="shared" si="17"/>
        <v>5560561.0332169309</v>
      </c>
      <c r="X19" s="263">
        <f t="shared" si="1"/>
        <v>16805.027096368729</v>
      </c>
      <c r="Y19" s="277"/>
      <c r="Z19" s="261">
        <v>16</v>
      </c>
      <c r="AA19" s="264">
        <f t="shared" si="18"/>
        <v>5634000</v>
      </c>
      <c r="AB19" s="264">
        <f t="shared" si="18"/>
        <v>-151324.02382579673</v>
      </c>
      <c r="AC19" s="264">
        <f t="shared" si="19"/>
        <v>5482675.9761742037</v>
      </c>
      <c r="AD19" s="263">
        <f t="shared" si="2"/>
        <v>16569.644284061378</v>
      </c>
      <c r="AE19" s="277"/>
      <c r="AF19" s="261">
        <v>16</v>
      </c>
      <c r="AG19" s="460">
        <f t="shared" si="20"/>
        <v>5634000</v>
      </c>
      <c r="AH19" s="459">
        <f>AB19-NREL_OnlineCashFlow_SEA3.1!$R$66*1000*_WhAv/1000</f>
        <v>-341549.7627901868</v>
      </c>
      <c r="AI19" s="460">
        <f t="shared" si="21"/>
        <v>5292450.2372098137</v>
      </c>
      <c r="AJ19" s="466">
        <f t="shared" si="3"/>
        <v>15994.747492419847</v>
      </c>
      <c r="AK19" s="277"/>
      <c r="AL19" s="261">
        <v>16</v>
      </c>
      <c r="AM19" s="460">
        <f t="shared" ref="AM19" si="48">AM18</f>
        <v>5634000</v>
      </c>
      <c r="AN19" s="459">
        <f>AH19-NREL_OnlineCashFlow_SEA3.1!$R$40*1000*_WhAv/1000</f>
        <v>-547483.17807337071</v>
      </c>
      <c r="AO19" s="460">
        <f t="shared" si="23"/>
        <v>5086516.8219266292</v>
      </c>
      <c r="AP19" s="466">
        <f t="shared" si="4"/>
        <v>15372.379245185708</v>
      </c>
      <c r="AQ19" s="277"/>
      <c r="AR19" s="261">
        <v>16</v>
      </c>
      <c r="AS19" s="264">
        <f t="shared" ref="AS19:AT19" si="49">AS18</f>
        <v>5634000</v>
      </c>
      <c r="AT19" s="529">
        <f>AN19</f>
        <v>-547483.17807337071</v>
      </c>
      <c r="AU19" s="264">
        <f t="shared" si="25"/>
        <v>5086516.8219266292</v>
      </c>
      <c r="AV19" s="263">
        <f t="shared" si="5"/>
        <v>15372.379245185708</v>
      </c>
    </row>
    <row r="20" spans="1:48">
      <c r="A20" s="261">
        <v>17</v>
      </c>
      <c r="B20" s="369">
        <f t="shared" si="0"/>
        <v>7631.4090572772957</v>
      </c>
      <c r="C20" s="264">
        <f t="shared" si="9"/>
        <v>5634000</v>
      </c>
      <c r="D20" s="264">
        <f t="shared" si="9"/>
        <v>0</v>
      </c>
      <c r="E20" s="264">
        <f t="shared" si="10"/>
        <v>5634000</v>
      </c>
      <c r="F20" s="263">
        <f t="shared" si="6"/>
        <v>0.69278750580190529</v>
      </c>
      <c r="G20" s="268"/>
      <c r="H20" s="261">
        <v>17</v>
      </c>
      <c r="I20" s="264">
        <f t="shared" si="11"/>
        <v>5634000</v>
      </c>
      <c r="J20" s="264">
        <f t="shared" si="12"/>
        <v>0</v>
      </c>
      <c r="K20" s="264">
        <f t="shared" si="13"/>
        <v>5634000</v>
      </c>
      <c r="L20" s="263">
        <f t="shared" si="7"/>
        <v>11848.339382198888</v>
      </c>
      <c r="M20" s="268"/>
      <c r="N20" s="261">
        <v>17</v>
      </c>
      <c r="O20" s="264">
        <f t="shared" si="14"/>
        <v>5634000</v>
      </c>
      <c r="P20" s="264">
        <f t="shared" si="14"/>
        <v>-65000.455899111774</v>
      </c>
      <c r="Q20" s="264">
        <f t="shared" si="15"/>
        <v>5568999.5441008881</v>
      </c>
      <c r="R20" s="263">
        <f t="shared" si="8"/>
        <v>11711.642992158006</v>
      </c>
      <c r="S20" s="270"/>
      <c r="T20" s="261">
        <v>17</v>
      </c>
      <c r="U20" s="264">
        <f t="shared" si="16"/>
        <v>5634000</v>
      </c>
      <c r="V20" s="264">
        <f t="shared" si="16"/>
        <v>-73438.966783068958</v>
      </c>
      <c r="W20" s="264">
        <f t="shared" si="17"/>
        <v>5560561.0332169309</v>
      </c>
      <c r="X20" s="263">
        <f t="shared" si="1"/>
        <v>11693.896747778612</v>
      </c>
      <c r="Y20" s="277"/>
      <c r="Z20" s="261">
        <v>17</v>
      </c>
      <c r="AA20" s="264">
        <f t="shared" si="18"/>
        <v>5634000</v>
      </c>
      <c r="AB20" s="264">
        <f t="shared" si="18"/>
        <v>-151324.02382579673</v>
      </c>
      <c r="AC20" s="264">
        <f t="shared" si="19"/>
        <v>5482675.9761742037</v>
      </c>
      <c r="AD20" s="263">
        <f t="shared" si="2"/>
        <v>11530.103956041985</v>
      </c>
      <c r="AE20" s="277"/>
      <c r="AF20" s="261">
        <v>17</v>
      </c>
      <c r="AG20" s="460">
        <f t="shared" si="20"/>
        <v>5634000</v>
      </c>
      <c r="AH20" s="459">
        <f>AB20-NREL_OnlineCashFlow_SEA3.1!$S$66*1000*_WhAv/1000</f>
        <v>-307980.51473764738</v>
      </c>
      <c r="AI20" s="460">
        <f t="shared" si="21"/>
        <v>5326019.485262353</v>
      </c>
      <c r="AJ20" s="466">
        <f t="shared" si="3"/>
        <v>11200.654316221617</v>
      </c>
      <c r="AK20" s="277"/>
      <c r="AL20" s="261">
        <v>17</v>
      </c>
      <c r="AM20" s="460">
        <f t="shared" ref="AM20" si="50">AM19</f>
        <v>5634000</v>
      </c>
      <c r="AN20" s="459">
        <f>AH20-NREL_OnlineCashFlow_SEA3.1!$S$40*1000*_WhAv/1000</f>
        <v>-526522.09830347518</v>
      </c>
      <c r="AO20" s="460">
        <f t="shared" si="23"/>
        <v>5107477.9016965246</v>
      </c>
      <c r="AP20" s="466">
        <f t="shared" si="4"/>
        <v>10741.059915935653</v>
      </c>
      <c r="AQ20" s="277"/>
      <c r="AR20" s="261">
        <v>17</v>
      </c>
      <c r="AS20" s="264">
        <f t="shared" ref="AS20:AT20" si="51">AS19</f>
        <v>5634000</v>
      </c>
      <c r="AT20" s="529">
        <f>AN20</f>
        <v>-526522.09830347518</v>
      </c>
      <c r="AU20" s="264">
        <f t="shared" si="25"/>
        <v>5107477.9016965246</v>
      </c>
      <c r="AV20" s="263">
        <f t="shared" si="5"/>
        <v>10741.059915935653</v>
      </c>
    </row>
    <row r="21" spans="1:48">
      <c r="A21" s="261">
        <v>18</v>
      </c>
      <c r="B21" s="369">
        <f t="shared" si="0"/>
        <v>7631.4090572772957</v>
      </c>
      <c r="C21" s="264">
        <f t="shared" si="9"/>
        <v>5634000</v>
      </c>
      <c r="D21" s="264">
        <f t="shared" si="9"/>
        <v>0</v>
      </c>
      <c r="E21" s="264">
        <f t="shared" si="10"/>
        <v>5634000</v>
      </c>
      <c r="F21" s="263">
        <f t="shared" si="6"/>
        <v>0.27171693420591886</v>
      </c>
      <c r="G21" s="268"/>
      <c r="H21" s="261">
        <v>18</v>
      </c>
      <c r="I21" s="264">
        <f t="shared" si="11"/>
        <v>5634000</v>
      </c>
      <c r="J21" s="264">
        <f t="shared" si="12"/>
        <v>0</v>
      </c>
      <c r="K21" s="264">
        <f t="shared" si="13"/>
        <v>5634000</v>
      </c>
      <c r="L21" s="263">
        <f t="shared" si="7"/>
        <v>8244.7506078708866</v>
      </c>
      <c r="M21" s="268"/>
      <c r="N21" s="261">
        <v>18</v>
      </c>
      <c r="O21" s="264">
        <f t="shared" si="14"/>
        <v>5634000</v>
      </c>
      <c r="P21" s="264">
        <f t="shared" si="14"/>
        <v>-65000.455899111774</v>
      </c>
      <c r="Q21" s="264">
        <f t="shared" si="15"/>
        <v>5568999.5441008881</v>
      </c>
      <c r="R21" s="263">
        <f t="shared" si="8"/>
        <v>8149.6294597902888</v>
      </c>
      <c r="S21" s="270"/>
      <c r="T21" s="261">
        <v>18</v>
      </c>
      <c r="U21" s="264">
        <f t="shared" si="16"/>
        <v>5634000</v>
      </c>
      <c r="V21" s="264">
        <f t="shared" si="16"/>
        <v>-73438.966783068958</v>
      </c>
      <c r="W21" s="264">
        <f t="shared" si="17"/>
        <v>5560561.0332169309</v>
      </c>
      <c r="X21" s="263">
        <f t="shared" si="1"/>
        <v>8137.2806103511639</v>
      </c>
      <c r="Y21" s="277"/>
      <c r="Z21" s="261">
        <v>18</v>
      </c>
      <c r="AA21" s="264">
        <f t="shared" si="18"/>
        <v>5634000</v>
      </c>
      <c r="AB21" s="264">
        <f t="shared" si="18"/>
        <v>-151324.02382579673</v>
      </c>
      <c r="AC21" s="264">
        <f t="shared" si="19"/>
        <v>5482675.9761742037</v>
      </c>
      <c r="AD21" s="263">
        <f t="shared" si="2"/>
        <v>8023.3042398511488</v>
      </c>
      <c r="AE21" s="277"/>
      <c r="AF21" s="261">
        <v>18</v>
      </c>
      <c r="AG21" s="460">
        <f t="shared" si="20"/>
        <v>5634000</v>
      </c>
      <c r="AH21" s="459">
        <f>AB21-NREL_OnlineCashFlow_SEA3.1!$T$66*1000*_WhAv/1000</f>
        <v>-272173.31681493862</v>
      </c>
      <c r="AI21" s="460">
        <f t="shared" si="21"/>
        <v>5361826.6831850614</v>
      </c>
      <c r="AJ21" s="466">
        <f t="shared" si="3"/>
        <v>7846.4543495719518</v>
      </c>
      <c r="AK21" s="277"/>
      <c r="AL21" s="261">
        <v>18</v>
      </c>
      <c r="AM21" s="460">
        <f t="shared" ref="AM21" si="52">AM20</f>
        <v>5634000</v>
      </c>
      <c r="AN21" s="459">
        <f>AH21-NREL_OnlineCashFlow_SEA3.1!$T$40*1000*_WhAv/1000</f>
        <v>-505424.43004385103</v>
      </c>
      <c r="AO21" s="460">
        <f t="shared" si="23"/>
        <v>5128575.569956149</v>
      </c>
      <c r="AP21" s="466">
        <f t="shared" si="4"/>
        <v>7505.1165331749626</v>
      </c>
      <c r="AQ21" s="277"/>
      <c r="AR21" s="261">
        <v>18</v>
      </c>
      <c r="AS21" s="264">
        <f t="shared" ref="AS21:AT21" si="53">AS20</f>
        <v>5634000</v>
      </c>
      <c r="AT21" s="529">
        <f>AN21</f>
        <v>-505424.43004385103</v>
      </c>
      <c r="AU21" s="264">
        <f t="shared" si="25"/>
        <v>5128575.569956149</v>
      </c>
      <c r="AV21" s="263">
        <f t="shared" si="5"/>
        <v>7505.1165331749626</v>
      </c>
    </row>
    <row r="22" spans="1:48">
      <c r="A22" s="261">
        <v>19</v>
      </c>
      <c r="B22" s="369">
        <f t="shared" si="0"/>
        <v>7631.4090572772957</v>
      </c>
      <c r="C22" s="264">
        <f t="shared" si="9"/>
        <v>5634000</v>
      </c>
      <c r="D22" s="264">
        <f t="shared" si="9"/>
        <v>0</v>
      </c>
      <c r="E22" s="264">
        <f t="shared" si="10"/>
        <v>5634000</v>
      </c>
      <c r="F22" s="263">
        <f t="shared" si="6"/>
        <v>0.1065696071536465</v>
      </c>
      <c r="G22" s="268"/>
      <c r="H22" s="261">
        <v>19</v>
      </c>
      <c r="I22" s="264">
        <f t="shared" si="11"/>
        <v>5634000</v>
      </c>
      <c r="J22" s="264">
        <f t="shared" si="12"/>
        <v>0</v>
      </c>
      <c r="K22" s="264">
        <f t="shared" si="13"/>
        <v>5634000</v>
      </c>
      <c r="L22" s="263">
        <f t="shared" si="7"/>
        <v>5737.1679180725823</v>
      </c>
      <c r="M22" s="268"/>
      <c r="N22" s="261">
        <v>19</v>
      </c>
      <c r="O22" s="264">
        <f t="shared" si="14"/>
        <v>5634000</v>
      </c>
      <c r="P22" s="264">
        <f t="shared" si="14"/>
        <v>-65000.455899111774</v>
      </c>
      <c r="Q22" s="264">
        <f t="shared" si="15"/>
        <v>5568999.5441008881</v>
      </c>
      <c r="R22" s="263">
        <f t="shared" si="8"/>
        <v>5670.9771956294735</v>
      </c>
      <c r="S22" s="270"/>
      <c r="T22" s="261">
        <v>19</v>
      </c>
      <c r="U22" s="264">
        <f t="shared" si="16"/>
        <v>5634000</v>
      </c>
      <c r="V22" s="264">
        <f t="shared" si="16"/>
        <v>-73438.966783068958</v>
      </c>
      <c r="W22" s="264">
        <f t="shared" si="17"/>
        <v>5560561.0332169309</v>
      </c>
      <c r="X22" s="263">
        <f t="shared" si="1"/>
        <v>5662.3841615649108</v>
      </c>
      <c r="Y22" s="277"/>
      <c r="Z22" s="261">
        <v>19</v>
      </c>
      <c r="AA22" s="264">
        <f t="shared" si="18"/>
        <v>5634000</v>
      </c>
      <c r="AB22" s="264">
        <f t="shared" si="18"/>
        <v>-151324.02382579673</v>
      </c>
      <c r="AC22" s="264">
        <f t="shared" si="19"/>
        <v>5482675.9761742037</v>
      </c>
      <c r="AD22" s="263">
        <f t="shared" si="2"/>
        <v>5583.0728994841884</v>
      </c>
      <c r="AE22" s="277"/>
      <c r="AF22" s="261">
        <v>19</v>
      </c>
      <c r="AG22" s="460">
        <f t="shared" si="20"/>
        <v>5634000</v>
      </c>
      <c r="AH22" s="459">
        <f>AB22-NREL_OnlineCashFlow_SEA3.1!$U$66*1000*_WhAv/1000</f>
        <v>-234128.16902206064</v>
      </c>
      <c r="AI22" s="460">
        <f t="shared" si="21"/>
        <v>5399871.8309779391</v>
      </c>
      <c r="AJ22" s="466">
        <f t="shared" si="3"/>
        <v>5498.7524725577714</v>
      </c>
      <c r="AK22" s="277"/>
      <c r="AL22" s="261">
        <v>19</v>
      </c>
      <c r="AM22" s="460">
        <f t="shared" ref="AM22" si="54">AM21</f>
        <v>5634000</v>
      </c>
      <c r="AN22" s="459">
        <f>AH22-NREL_OnlineCashFlow_SEA3.1!$U$40*1000*_WhAv/1000</f>
        <v>-482088.81191405765</v>
      </c>
      <c r="AO22" s="460">
        <f t="shared" si="23"/>
        <v>5151911.1880859425</v>
      </c>
      <c r="AP22" s="466">
        <f t="shared" si="4"/>
        <v>5246.2512575516275</v>
      </c>
      <c r="AQ22" s="277"/>
      <c r="AR22" s="261">
        <v>19</v>
      </c>
      <c r="AS22" s="264">
        <f t="shared" ref="AS22:AT22" si="55">AS21</f>
        <v>5634000</v>
      </c>
      <c r="AT22" s="529">
        <f>AN22</f>
        <v>-482088.81191405765</v>
      </c>
      <c r="AU22" s="264">
        <f t="shared" si="25"/>
        <v>5151911.1880859425</v>
      </c>
      <c r="AV22" s="263">
        <f t="shared" si="5"/>
        <v>5246.2512575516275</v>
      </c>
    </row>
    <row r="23" spans="1:48">
      <c r="A23" s="261">
        <v>20</v>
      </c>
      <c r="B23" s="369">
        <f t="shared" si="0"/>
        <v>7631.4090572772957</v>
      </c>
      <c r="C23" s="264">
        <f t="shared" si="9"/>
        <v>5634000</v>
      </c>
      <c r="D23" s="264">
        <f t="shared" si="9"/>
        <v>0</v>
      </c>
      <c r="E23" s="264">
        <f t="shared" si="10"/>
        <v>5634000</v>
      </c>
      <c r="F23" s="263">
        <f t="shared" si="6"/>
        <v>4.1797472807770068E-2</v>
      </c>
      <c r="G23" s="268"/>
      <c r="H23" s="261">
        <v>20</v>
      </c>
      <c r="I23" s="264">
        <f t="shared" si="11"/>
        <v>5634000</v>
      </c>
      <c r="J23" s="264">
        <f t="shared" si="12"/>
        <v>0</v>
      </c>
      <c r="K23" s="264">
        <f t="shared" si="13"/>
        <v>5634000</v>
      </c>
      <c r="L23" s="263">
        <f t="shared" si="7"/>
        <v>3992.2487999502064</v>
      </c>
      <c r="M23" s="268"/>
      <c r="N23" s="261">
        <v>20</v>
      </c>
      <c r="O23" s="264">
        <f t="shared" si="14"/>
        <v>5634000</v>
      </c>
      <c r="P23" s="264">
        <f t="shared" si="14"/>
        <v>-65000.455899111774</v>
      </c>
      <c r="Q23" s="264">
        <f t="shared" si="15"/>
        <v>5568999.5441008881</v>
      </c>
      <c r="R23" s="263">
        <f t="shared" si="8"/>
        <v>3946.1895184345076</v>
      </c>
      <c r="S23" s="270"/>
      <c r="T23" s="261">
        <v>20</v>
      </c>
      <c r="U23" s="264">
        <f t="shared" si="16"/>
        <v>5634000</v>
      </c>
      <c r="V23" s="264">
        <f t="shared" si="16"/>
        <v>-73438.966783068958</v>
      </c>
      <c r="W23" s="264">
        <f t="shared" si="17"/>
        <v>5560561.0332169309</v>
      </c>
      <c r="X23" s="263">
        <f t="shared" si="1"/>
        <v>3940.2099950142297</v>
      </c>
      <c r="Y23" s="277"/>
      <c r="Z23" s="261">
        <v>20</v>
      </c>
      <c r="AA23" s="264">
        <f t="shared" si="18"/>
        <v>5634000</v>
      </c>
      <c r="AB23" s="264">
        <f t="shared" si="18"/>
        <v>-151324.02382579673</v>
      </c>
      <c r="AC23" s="264">
        <f t="shared" si="19"/>
        <v>5482675.9761742037</v>
      </c>
      <c r="AD23" s="263">
        <f t="shared" si="2"/>
        <v>3885.0206933612512</v>
      </c>
      <c r="AE23" s="277"/>
      <c r="AF23" s="261">
        <v>20</v>
      </c>
      <c r="AG23" s="460">
        <f t="shared" si="20"/>
        <v>5634000</v>
      </c>
      <c r="AH23" s="459">
        <f>AB23-NREL_OnlineCashFlow_SEA3.1!$V$66*1000*_WhAv/1000</f>
        <v>-193845.07135901332</v>
      </c>
      <c r="AI23" s="460">
        <f t="shared" si="21"/>
        <v>5440154.9286409868</v>
      </c>
      <c r="AJ23" s="466">
        <f t="shared" si="3"/>
        <v>3854.8903062495879</v>
      </c>
      <c r="AK23" s="277"/>
      <c r="AL23" s="261">
        <v>20</v>
      </c>
      <c r="AM23" s="460">
        <f t="shared" ref="AM23" si="56">AM22</f>
        <v>5634000</v>
      </c>
      <c r="AN23" s="459">
        <f>AH23-NREL_OnlineCashFlow_SEA3.1!$V$40*1000*_WhAv/1000</f>
        <v>-457923.15603899007</v>
      </c>
      <c r="AO23" s="460">
        <f t="shared" si="23"/>
        <v>5176076.8439610098</v>
      </c>
      <c r="AP23" s="466">
        <f t="shared" si="4"/>
        <v>3667.7647441876807</v>
      </c>
      <c r="AQ23" s="277"/>
      <c r="AR23" s="261">
        <v>20</v>
      </c>
      <c r="AS23" s="264">
        <f t="shared" ref="AS23:AT23" si="57">AS22</f>
        <v>5634000</v>
      </c>
      <c r="AT23" s="529">
        <f>AN23</f>
        <v>-457923.15603899007</v>
      </c>
      <c r="AU23" s="264">
        <f t="shared" si="25"/>
        <v>5176076.8439610098</v>
      </c>
      <c r="AV23" s="263">
        <f t="shared" si="5"/>
        <v>3667.7647441876807</v>
      </c>
    </row>
    <row r="24" spans="1:48" ht="15.75" thickBot="1">
      <c r="A24" s="265"/>
      <c r="B24" s="370"/>
      <c r="C24" s="266">
        <f>SUM(C3:C23)</f>
        <v>112680000</v>
      </c>
      <c r="D24" s="266">
        <f>SUM(D3:D23)</f>
        <v>-3635621.4355153013</v>
      </c>
      <c r="E24" s="266">
        <f>SUM(E3:E23)</f>
        <v>109044378.5644847</v>
      </c>
      <c r="F24" s="267">
        <f>SUM(F3:F23)</f>
        <v>4.0165600616315356E-8</v>
      </c>
      <c r="G24" s="272"/>
      <c r="H24" s="265"/>
      <c r="I24" s="266">
        <f>SUM(I3:I23)</f>
        <v>112680000</v>
      </c>
      <c r="J24" s="266">
        <f>SUM(J3:J23)</f>
        <v>-12732439.770845886</v>
      </c>
      <c r="K24" s="266">
        <f>SUM(K3:K23)</f>
        <v>99947560.22915411</v>
      </c>
      <c r="L24" s="267">
        <f>SUM(L3:L23)</f>
        <v>148610.96382915639</v>
      </c>
      <c r="M24" s="272"/>
      <c r="N24" s="265"/>
      <c r="O24" s="266">
        <f>SUM(O3:O23)</f>
        <v>112680000</v>
      </c>
      <c r="P24" s="266">
        <f>SUM(P3:P23)</f>
        <v>-14032448.888828125</v>
      </c>
      <c r="Q24" s="266">
        <f>SUM(Q3:Q23)</f>
        <v>98647551.111171842</v>
      </c>
      <c r="R24" s="267">
        <f>SUM(R3:R23)</f>
        <v>1.3578755897469819E-9</v>
      </c>
      <c r="S24" s="270"/>
      <c r="T24" s="265"/>
      <c r="U24" s="266">
        <f>SUM(U3:U23)</f>
        <v>112680000</v>
      </c>
      <c r="V24" s="266">
        <f>SUM(V3:V23)</f>
        <v>-14201219.106507268</v>
      </c>
      <c r="W24" s="266">
        <f>SUM(W3:W23)</f>
        <v>98478780.893492699</v>
      </c>
      <c r="X24" s="267">
        <f>SUM(X3:X23)</f>
        <v>-19293.022155015184</v>
      </c>
      <c r="Y24" s="275"/>
      <c r="Z24" s="265"/>
      <c r="AA24" s="266">
        <f>SUM(AA3:AA23)</f>
        <v>112680000</v>
      </c>
      <c r="AB24" s="266">
        <f>SUM(AB3:AB23)</f>
        <v>-15758920.247361813</v>
      </c>
      <c r="AC24" s="266">
        <f>SUM(AC3:AC23)</f>
        <v>96921079.752638206</v>
      </c>
      <c r="AD24" s="267">
        <f>SUM(AD3:AD23)</f>
        <v>-197362.13313130735</v>
      </c>
      <c r="AE24" s="275"/>
      <c r="AF24" s="265"/>
      <c r="AG24" s="467">
        <f>SUM(AG3:AG23)</f>
        <v>112680000</v>
      </c>
      <c r="AH24" s="467">
        <f>SUM(AH3:AH23)</f>
        <v>-22013990.134485003</v>
      </c>
      <c r="AI24" s="467">
        <f>SUM(AI3:AI23)</f>
        <v>90666009.865514994</v>
      </c>
      <c r="AJ24" s="468">
        <f>SUM(AJ3:AJ23)</f>
        <v>-1253835.1699146219</v>
      </c>
      <c r="AK24" s="275"/>
      <c r="AL24" s="265"/>
      <c r="AM24" s="467">
        <f>SUM(AM3:AM23)</f>
        <v>112680000</v>
      </c>
      <c r="AN24" s="467">
        <f>SUM(AN3:AN23)</f>
        <v>-25104936.689851109</v>
      </c>
      <c r="AO24" s="467">
        <f>SUM(AO3:AO23)</f>
        <v>87575063.310148895</v>
      </c>
      <c r="AP24" s="468">
        <f>SUM(AP3:AP23)</f>
        <v>-1466190.7470414438</v>
      </c>
      <c r="AQ24" s="275"/>
      <c r="AR24" s="265"/>
      <c r="AS24" s="266">
        <f>SUM(AS3:AS23)</f>
        <v>115327808.0093921</v>
      </c>
      <c r="AT24" s="266">
        <f>SUM(AT3:AT23)</f>
        <v>-25104936.689851109</v>
      </c>
      <c r="AU24" s="266">
        <f>SUM(AU3:AU23)</f>
        <v>90222871.319540992</v>
      </c>
      <c r="AV24" s="267">
        <f>SUM(AV3:AV23)</f>
        <v>-876517.50910173671</v>
      </c>
    </row>
    <row r="25" spans="1:48" s="46" customFormat="1">
      <c r="C25" s="355"/>
      <c r="I25" s="355"/>
      <c r="J25" s="355">
        <f>J24-D24</f>
        <v>-9096818.335330585</v>
      </c>
      <c r="K25" s="355" t="s">
        <v>628</v>
      </c>
      <c r="O25" s="355"/>
      <c r="P25" s="355">
        <f>P17/2000</f>
        <v>-32.500227949555885</v>
      </c>
      <c r="Q25" s="355"/>
      <c r="S25" s="356"/>
      <c r="U25" s="355"/>
      <c r="V25" s="355">
        <f>V19-P19</f>
        <v>-8438.510883957184</v>
      </c>
      <c r="W25" s="355"/>
      <c r="AA25" s="357"/>
      <c r="AB25" s="358">
        <f>AB4-V4</f>
        <v>-77885.057042727771</v>
      </c>
      <c r="AC25" s="355"/>
      <c r="AG25" s="357"/>
      <c r="AH25" s="358"/>
      <c r="AI25" s="355"/>
      <c r="AM25" s="357"/>
      <c r="AN25" s="358"/>
      <c r="AO25" s="355"/>
      <c r="AS25" s="357" t="s">
        <v>360</v>
      </c>
      <c r="AT25" s="358">
        <f>AT24/$D$24</f>
        <v>6.9052669908391646</v>
      </c>
      <c r="AU25" s="355"/>
    </row>
    <row r="26" spans="1:48">
      <c r="A26" s="21" t="s">
        <v>40</v>
      </c>
      <c r="B26" s="21"/>
      <c r="C26" s="20">
        <f>C24/-D24</f>
        <v>30.993325900013321</v>
      </c>
      <c r="D26" s="20"/>
      <c r="E26" s="20"/>
      <c r="H26" s="21" t="s">
        <v>40</v>
      </c>
      <c r="I26" s="20">
        <f>I24/-J24</f>
        <v>8.8498356974763883</v>
      </c>
      <c r="J26" s="355">
        <f>J25/_KWturb</f>
        <v>-4548.4091676652924</v>
      </c>
      <c r="K26" s="355" t="s">
        <v>627</v>
      </c>
      <c r="N26" s="21" t="s">
        <v>40</v>
      </c>
      <c r="O26" s="20">
        <f>O24/-P24</f>
        <v>8.0299597663034934</v>
      </c>
      <c r="P26" s="20"/>
      <c r="Q26" s="20">
        <f>P21/14.52</f>
        <v>-4476.61542004902</v>
      </c>
      <c r="T26" s="21" t="s">
        <v>40</v>
      </c>
      <c r="U26" s="20">
        <f>U24/-V24</f>
        <v>7.9345300678001571</v>
      </c>
      <c r="V26" s="20">
        <f>V25/2000</f>
        <v>-4.2192554419785919</v>
      </c>
      <c r="W26" s="20">
        <f>V25/1.89</f>
        <v>-4464.82057352232</v>
      </c>
      <c r="X26" s="6"/>
      <c r="Y26" s="20"/>
      <c r="Z26" s="21" t="s">
        <v>40</v>
      </c>
      <c r="AA26" s="20">
        <f>AA24/-AB24</f>
        <v>7.150236071463314</v>
      </c>
      <c r="AB26" s="20">
        <f>AB25/17.4</f>
        <v>-4476.1527036050447</v>
      </c>
      <c r="AC26" s="20">
        <f>AB25/2000</f>
        <v>-38.942528521363883</v>
      </c>
      <c r="AD26" s="6"/>
      <c r="AE26" s="20"/>
      <c r="AF26" s="21" t="s">
        <v>40</v>
      </c>
      <c r="AG26" s="20">
        <f>AG24/-AH24</f>
        <v>5.118563209651227</v>
      </c>
      <c r="AH26" s="20">
        <f>AH23-V23</f>
        <v>-120406.10457594437</v>
      </c>
      <c r="AI26" s="20"/>
      <c r="AJ26" s="472"/>
      <c r="AK26" s="20"/>
      <c r="AL26" s="21" t="s">
        <v>40</v>
      </c>
      <c r="AM26" s="20">
        <f>AM24/-AN24</f>
        <v>4.4883602532864337</v>
      </c>
      <c r="AN26" s="20">
        <f>AN23-AB23</f>
        <v>-306599.13221319334</v>
      </c>
      <c r="AO26" s="20"/>
      <c r="AP26" s="439"/>
      <c r="AQ26" s="20"/>
      <c r="AR26" s="21" t="s">
        <v>40</v>
      </c>
      <c r="AS26" s="20">
        <f>AS24/-AT24</f>
        <v>4.5938298683706451</v>
      </c>
      <c r="AT26" s="20"/>
      <c r="AU26" s="20"/>
      <c r="AV26" s="439"/>
    </row>
    <row r="27" spans="1:48">
      <c r="A27" s="22" t="s">
        <v>33</v>
      </c>
      <c r="B27" s="22"/>
      <c r="C27" s="23">
        <f>IRR(E3:E23)</f>
        <v>1.5496662835039974</v>
      </c>
      <c r="D27" s="23"/>
      <c r="E27" s="23"/>
      <c r="F27" s="19"/>
      <c r="H27" s="22" t="s">
        <v>33</v>
      </c>
      <c r="I27" s="23">
        <f>IRR(K3:K23)</f>
        <v>0.44219977553594125</v>
      </c>
      <c r="J27" s="23"/>
      <c r="K27" s="23"/>
      <c r="L27" s="19"/>
      <c r="N27" s="22" t="s">
        <v>33</v>
      </c>
      <c r="O27" s="23">
        <f>IRR(Q3:Q23)</f>
        <v>0.4370767468560926</v>
      </c>
      <c r="P27" s="23"/>
      <c r="Q27" s="23"/>
      <c r="R27" s="19"/>
      <c r="T27" s="22" t="s">
        <v>33</v>
      </c>
      <c r="U27" s="23">
        <f>IRR(W3:W23)</f>
        <v>0.43641158097041771</v>
      </c>
      <c r="V27" s="23"/>
      <c r="W27" s="23"/>
      <c r="X27" s="19"/>
      <c r="Y27" s="23"/>
      <c r="Z27" s="22" t="s">
        <v>33</v>
      </c>
      <c r="AA27" s="23">
        <f>IRR(AC3:AC23)</f>
        <v>0.43027135003642308</v>
      </c>
      <c r="AB27" s="23"/>
      <c r="AC27" s="23"/>
      <c r="AD27" s="19"/>
      <c r="AE27" s="23"/>
      <c r="AF27" s="22" t="s">
        <v>33</v>
      </c>
      <c r="AG27" s="23">
        <f>IRR(AI3:AI23)</f>
        <v>0.3941180361000981</v>
      </c>
      <c r="AH27" s="23"/>
      <c r="AI27" s="23"/>
      <c r="AJ27" s="19"/>
      <c r="AK27" s="23"/>
      <c r="AL27" s="22" t="s">
        <v>33</v>
      </c>
      <c r="AM27" s="23">
        <f>IRR(AO3:AO23)</f>
        <v>0.38668112282215589</v>
      </c>
      <c r="AN27" s="23"/>
      <c r="AO27" s="23"/>
      <c r="AP27" s="19"/>
      <c r="AQ27" s="23"/>
      <c r="AR27" s="22" t="s">
        <v>33</v>
      </c>
      <c r="AS27" s="23">
        <f>IRR(AU3:AU23)</f>
        <v>0.40683740577212563</v>
      </c>
      <c r="AT27" s="23"/>
      <c r="AU27" s="23"/>
      <c r="AV27" s="19"/>
    </row>
    <row r="28" spans="1:48">
      <c r="AB28">
        <f>9.3*_KWturb</f>
        <v>18600</v>
      </c>
      <c r="AS28" s="4">
        <f>AS4-AM4</f>
        <v>264780.80093920976</v>
      </c>
    </row>
    <row r="29" spans="1:48">
      <c r="B29" s="387" t="s">
        <v>390</v>
      </c>
      <c r="C29" s="388"/>
      <c r="D29" s="388"/>
      <c r="E29" s="385"/>
      <c r="F29" s="385"/>
      <c r="G29" s="384"/>
      <c r="H29" s="384"/>
      <c r="I29" s="384"/>
    </row>
    <row r="30" spans="1:48">
      <c r="AD30" s="25"/>
      <c r="AJ30" s="25"/>
      <c r="AP30" s="25"/>
      <c r="AV30" s="25"/>
    </row>
    <row r="31" spans="1:48">
      <c r="A31" s="19"/>
      <c r="B31" s="397" t="s">
        <v>399</v>
      </c>
      <c r="C31" s="19"/>
      <c r="D31" s="398"/>
      <c r="E31" s="398"/>
      <c r="F31" s="19"/>
      <c r="G31" s="19"/>
      <c r="H31" s="19"/>
      <c r="I31" s="397" t="s">
        <v>399</v>
      </c>
      <c r="J31" s="19"/>
      <c r="K31" s="19"/>
      <c r="L31" s="19"/>
      <c r="M31" s="19"/>
      <c r="N31" s="19"/>
      <c r="O31" s="397" t="s">
        <v>399</v>
      </c>
      <c r="P31" s="19"/>
      <c r="Q31" s="19"/>
      <c r="R31" s="19"/>
      <c r="S31" s="399"/>
      <c r="T31" s="19"/>
      <c r="U31" s="397" t="s">
        <v>399</v>
      </c>
      <c r="V31" s="19"/>
      <c r="W31" s="19"/>
      <c r="X31" s="19"/>
      <c r="Y31" s="19"/>
      <c r="Z31" s="19"/>
      <c r="AA31" s="397" t="s">
        <v>399</v>
      </c>
      <c r="AB31" s="19"/>
      <c r="AC31" s="19"/>
      <c r="AD31" s="19"/>
      <c r="AE31" s="19"/>
      <c r="AF31" s="19"/>
      <c r="AG31" s="397" t="s">
        <v>399</v>
      </c>
      <c r="AH31" s="19"/>
      <c r="AI31" s="19"/>
      <c r="AJ31" s="19"/>
      <c r="AK31" s="19"/>
      <c r="AL31" s="19"/>
      <c r="AM31" s="397" t="s">
        <v>399</v>
      </c>
      <c r="AN31" s="19"/>
      <c r="AO31" s="19"/>
      <c r="AP31" s="19"/>
      <c r="AQ31" s="19"/>
      <c r="AR31" s="19"/>
      <c r="AS31" s="397" t="s">
        <v>399</v>
      </c>
      <c r="AT31" s="19"/>
      <c r="AU31" s="19"/>
      <c r="AV31" s="19"/>
    </row>
    <row r="32" spans="1:48">
      <c r="A32" s="19">
        <v>1</v>
      </c>
      <c r="B32" s="398" t="s">
        <v>400</v>
      </c>
      <c r="C32" s="19"/>
      <c r="D32" s="398"/>
      <c r="E32" s="398"/>
      <c r="F32" s="19"/>
      <c r="G32" s="19"/>
      <c r="H32" s="19">
        <v>1</v>
      </c>
      <c r="I32" s="398" t="s">
        <v>401</v>
      </c>
      <c r="J32" s="19"/>
      <c r="K32" s="19"/>
      <c r="L32" s="19"/>
      <c r="M32" s="19"/>
      <c r="N32" s="19">
        <v>1</v>
      </c>
      <c r="O32" s="398" t="s">
        <v>402</v>
      </c>
      <c r="P32" s="19"/>
      <c r="Q32" s="19"/>
      <c r="R32" s="19"/>
      <c r="S32" s="399"/>
      <c r="T32" s="19">
        <v>1</v>
      </c>
      <c r="U32" s="398" t="s">
        <v>403</v>
      </c>
      <c r="V32" s="19"/>
      <c r="W32" s="19"/>
      <c r="X32" s="19"/>
      <c r="Y32" s="19"/>
      <c r="Z32" s="19">
        <v>1</v>
      </c>
      <c r="AA32" s="398" t="s">
        <v>404</v>
      </c>
      <c r="AB32" s="19"/>
      <c r="AC32" s="19"/>
      <c r="AD32" s="400"/>
      <c r="AE32" s="19"/>
      <c r="AF32" s="19">
        <v>1</v>
      </c>
      <c r="AG32" s="398" t="s">
        <v>598</v>
      </c>
      <c r="AH32" s="19"/>
      <c r="AI32" s="19"/>
      <c r="AJ32" s="400"/>
      <c r="AK32" s="19"/>
      <c r="AL32" s="19">
        <v>1</v>
      </c>
      <c r="AM32" s="398" t="s">
        <v>598</v>
      </c>
      <c r="AN32" s="19"/>
      <c r="AO32" s="19"/>
      <c r="AP32" s="400"/>
      <c r="AQ32" s="19"/>
      <c r="AR32" s="19">
        <v>1</v>
      </c>
      <c r="AS32" s="398" t="s">
        <v>606</v>
      </c>
      <c r="AT32" s="19"/>
      <c r="AU32" s="19"/>
      <c r="AV32" s="400"/>
    </row>
    <row r="33" spans="1:48">
      <c r="A33" s="19">
        <v>2</v>
      </c>
      <c r="B33" s="19" t="s">
        <v>405</v>
      </c>
      <c r="C33" s="398"/>
      <c r="D33" s="398"/>
      <c r="E33" s="398"/>
      <c r="F33" s="19"/>
      <c r="G33" s="19"/>
      <c r="H33" s="19">
        <v>2</v>
      </c>
      <c r="I33" s="19" t="s">
        <v>406</v>
      </c>
      <c r="J33" s="19"/>
      <c r="K33" s="19"/>
      <c r="L33" s="19"/>
      <c r="M33" s="19"/>
      <c r="N33" s="19">
        <v>2</v>
      </c>
      <c r="O33" s="19" t="s">
        <v>407</v>
      </c>
      <c r="P33" s="19"/>
      <c r="Q33" s="19"/>
      <c r="R33" s="19"/>
      <c r="S33" s="399"/>
      <c r="T33" s="19">
        <v>2</v>
      </c>
      <c r="U33" s="19" t="s">
        <v>407</v>
      </c>
      <c r="V33" s="19"/>
      <c r="W33" s="19"/>
      <c r="X33" s="19"/>
      <c r="Y33" s="19"/>
      <c r="Z33" s="19">
        <v>2</v>
      </c>
      <c r="AA33" s="19" t="s">
        <v>599</v>
      </c>
      <c r="AB33" s="19"/>
      <c r="AC33" s="19"/>
      <c r="AD33" s="19"/>
      <c r="AE33" s="19"/>
      <c r="AF33" s="19">
        <v>2</v>
      </c>
      <c r="AG33" s="19" t="s">
        <v>599</v>
      </c>
      <c r="AH33" s="19"/>
      <c r="AI33" s="19"/>
      <c r="AJ33" s="19"/>
      <c r="AK33" s="19"/>
      <c r="AL33" s="19">
        <v>2</v>
      </c>
      <c r="AM33" s="19" t="s">
        <v>599</v>
      </c>
      <c r="AN33" s="19"/>
      <c r="AO33" s="19"/>
      <c r="AP33" s="19"/>
      <c r="AQ33" s="19"/>
      <c r="AR33" s="19">
        <v>2</v>
      </c>
      <c r="AS33" s="19" t="s">
        <v>599</v>
      </c>
      <c r="AT33" s="19"/>
      <c r="AU33" s="19"/>
      <c r="AV33" s="19"/>
    </row>
    <row r="34" spans="1:48">
      <c r="A34" s="19"/>
      <c r="B34" s="19"/>
      <c r="C34" s="398"/>
      <c r="D34" s="398"/>
      <c r="E34" s="398"/>
      <c r="F34" s="19"/>
      <c r="G34" s="19"/>
      <c r="H34" s="19">
        <v>3</v>
      </c>
      <c r="I34" s="19" t="s">
        <v>410</v>
      </c>
      <c r="J34" s="19"/>
      <c r="K34" s="19"/>
      <c r="L34" s="19"/>
      <c r="M34" s="19"/>
      <c r="N34" s="19">
        <v>3</v>
      </c>
      <c r="O34" s="19" t="s">
        <v>408</v>
      </c>
      <c r="P34" s="19"/>
      <c r="Q34" s="19"/>
      <c r="R34" s="19"/>
      <c r="S34" s="399"/>
      <c r="T34" s="19">
        <v>3</v>
      </c>
      <c r="U34" s="19" t="s">
        <v>409</v>
      </c>
      <c r="V34" s="19"/>
      <c r="W34" s="19"/>
      <c r="X34" s="19"/>
      <c r="Y34" s="19"/>
      <c r="Z34" s="19">
        <v>3</v>
      </c>
      <c r="AA34" s="19" t="s">
        <v>600</v>
      </c>
      <c r="AB34" s="19"/>
      <c r="AC34" s="19"/>
      <c r="AD34" s="19"/>
      <c r="AE34" s="19"/>
      <c r="AF34" s="19">
        <v>3</v>
      </c>
      <c r="AG34" s="465" t="s">
        <v>608</v>
      </c>
      <c r="AH34" s="462"/>
      <c r="AI34" s="462"/>
      <c r="AJ34" s="462"/>
      <c r="AK34" s="19"/>
      <c r="AL34" s="19">
        <v>3</v>
      </c>
      <c r="AM34" s="465" t="s">
        <v>608</v>
      </c>
      <c r="AN34" s="462"/>
      <c r="AO34" s="462"/>
      <c r="AP34" s="462"/>
      <c r="AQ34" s="19"/>
      <c r="AR34" s="19">
        <v>3</v>
      </c>
      <c r="AS34" s="462" t="s">
        <v>609</v>
      </c>
      <c r="AT34" s="462"/>
      <c r="AU34" s="462"/>
      <c r="AV34" s="462"/>
    </row>
    <row r="35" spans="1:48">
      <c r="H35" s="19">
        <v>4</v>
      </c>
      <c r="I35" s="19" t="s">
        <v>405</v>
      </c>
      <c r="Z35" s="19">
        <v>4</v>
      </c>
      <c r="AA35" t="s">
        <v>610</v>
      </c>
      <c r="AH35" s="283"/>
      <c r="AI35" s="283"/>
      <c r="AJ35" s="283"/>
      <c r="AN35" s="283"/>
      <c r="AO35" s="283"/>
      <c r="AP35" s="283"/>
      <c r="AT35" s="283"/>
      <c r="AU35" s="283"/>
      <c r="AV35" s="283"/>
    </row>
    <row r="36" spans="1:48" ht="45">
      <c r="D36" s="492" t="s">
        <v>629</v>
      </c>
      <c r="J36" s="492" t="s">
        <v>629</v>
      </c>
      <c r="K36" s="18"/>
      <c r="P36" s="492" t="s">
        <v>629</v>
      </c>
      <c r="Q36" s="18"/>
      <c r="V36" s="492" t="s">
        <v>629</v>
      </c>
      <c r="W36" s="18"/>
      <c r="AB36" s="492" t="s">
        <v>629</v>
      </c>
      <c r="AC36" s="18"/>
      <c r="AH36" s="492" t="s">
        <v>629</v>
      </c>
      <c r="AI36" s="18"/>
      <c r="AN36" s="492" t="s">
        <v>629</v>
      </c>
      <c r="AO36" s="18"/>
      <c r="AT36" s="492" t="s">
        <v>629</v>
      </c>
      <c r="AU36" s="18"/>
    </row>
    <row r="37" spans="1:48">
      <c r="A37" s="16"/>
      <c r="B37" s="16"/>
      <c r="D37" s="18">
        <f>D3</f>
        <v>-3635621.4355153013</v>
      </c>
      <c r="J37" s="18">
        <f>J3-D3</f>
        <v>-9096818.335330585</v>
      </c>
      <c r="K37" s="18"/>
      <c r="P37" s="18">
        <f>P3-J3</f>
        <v>0</v>
      </c>
      <c r="Q37" s="18"/>
      <c r="V37" s="18">
        <f>V3-P3</f>
        <v>0</v>
      </c>
      <c r="W37" s="18"/>
      <c r="AB37" s="18">
        <f>AB3-V3</f>
        <v>0</v>
      </c>
      <c r="AC37" s="18"/>
      <c r="AH37" s="18">
        <f>AH3-V3</f>
        <v>0</v>
      </c>
      <c r="AI37" s="18"/>
      <c r="AN37" s="18">
        <f>AN3-AB3</f>
        <v>0</v>
      </c>
      <c r="AO37" s="18"/>
      <c r="AT37" s="18">
        <f>AT3-AN3</f>
        <v>0</v>
      </c>
      <c r="AU37" s="18"/>
    </row>
    <row r="38" spans="1:48">
      <c r="D38" s="355">
        <f>D37/_KWturb</f>
        <v>-1817.8107177576508</v>
      </c>
      <c r="E38" s="355" t="s">
        <v>627</v>
      </c>
      <c r="J38" s="355">
        <f>J37/_KWturb</f>
        <v>-4548.4091676652924</v>
      </c>
      <c r="K38" s="355" t="s">
        <v>627</v>
      </c>
      <c r="P38" s="355">
        <f>P37/_KWturb</f>
        <v>0</v>
      </c>
      <c r="Q38" s="355" t="s">
        <v>627</v>
      </c>
      <c r="V38" s="355">
        <f>V37/_KWturb</f>
        <v>0</v>
      </c>
      <c r="W38" s="355" t="s">
        <v>627</v>
      </c>
      <c r="AB38" s="355">
        <f>AB37/_KWturb</f>
        <v>0</v>
      </c>
      <c r="AC38" s="355" t="s">
        <v>627</v>
      </c>
      <c r="AH38" s="355">
        <f>AH37/_KWturb</f>
        <v>0</v>
      </c>
      <c r="AI38" s="355" t="s">
        <v>627</v>
      </c>
      <c r="AN38" s="355">
        <f>AN37/_KWturb</f>
        <v>0</v>
      </c>
      <c r="AO38" s="355" t="s">
        <v>627</v>
      </c>
      <c r="AT38" s="355">
        <f>AT37/_KWturb</f>
        <v>0</v>
      </c>
      <c r="AU38" s="355" t="s">
        <v>627</v>
      </c>
    </row>
    <row r="39" spans="1:48">
      <c r="J39" s="18"/>
      <c r="K39" s="18"/>
      <c r="P39" s="18"/>
      <c r="Q39" s="18"/>
      <c r="V39" s="18"/>
      <c r="W39" s="18"/>
      <c r="AB39" s="18"/>
      <c r="AC39" s="18"/>
      <c r="AH39" s="18"/>
      <c r="AI39" s="18"/>
      <c r="AN39" s="18"/>
      <c r="AO39" s="18"/>
      <c r="AT39" s="18"/>
      <c r="AU39" s="18"/>
    </row>
    <row r="40" spans="1:48" ht="30">
      <c r="D40" s="18" t="s">
        <v>630</v>
      </c>
      <c r="J40" s="18" t="s">
        <v>630</v>
      </c>
      <c r="K40" s="18"/>
      <c r="P40" s="18" t="s">
        <v>630</v>
      </c>
      <c r="Q40" s="18"/>
      <c r="V40" s="18" t="s">
        <v>630</v>
      </c>
      <c r="W40" s="18"/>
      <c r="AB40" s="18" t="s">
        <v>630</v>
      </c>
      <c r="AC40" s="18"/>
      <c r="AH40" s="18" t="s">
        <v>630</v>
      </c>
      <c r="AI40" s="18"/>
      <c r="AN40" s="18" t="s">
        <v>630</v>
      </c>
      <c r="AO40" s="18"/>
      <c r="AT40" s="18" t="s">
        <v>630</v>
      </c>
      <c r="AU40" s="18"/>
    </row>
    <row r="41" spans="1:48">
      <c r="D41" s="18">
        <f>D4</f>
        <v>0</v>
      </c>
      <c r="J41" s="18">
        <f>J4-D4</f>
        <v>0</v>
      </c>
      <c r="K41" s="18"/>
      <c r="P41" s="18">
        <f>P4-J4</f>
        <v>-65000.455899111774</v>
      </c>
      <c r="Q41" s="18"/>
      <c r="V41" s="18">
        <f>V4-P4</f>
        <v>-8438.510883957184</v>
      </c>
      <c r="W41" s="18"/>
      <c r="AB41" s="18">
        <f>AB4-V4</f>
        <v>-77885.057042727771</v>
      </c>
      <c r="AC41" s="18"/>
      <c r="AH41" s="18">
        <f>AH4-V4</f>
        <v>-572471.9783501419</v>
      </c>
      <c r="AI41" s="18"/>
      <c r="AN41" s="18">
        <f>AN4-AB4</f>
        <v>-573794.32705425611</v>
      </c>
      <c r="AO41" s="18"/>
      <c r="AT41" s="18">
        <f>AS4-AM4</f>
        <v>264780.80093920976</v>
      </c>
      <c r="AU41" s="18"/>
    </row>
    <row r="42" spans="1:48">
      <c r="D42" s="355">
        <f>D41/_KWturb</f>
        <v>0</v>
      </c>
      <c r="E42" s="355" t="s">
        <v>627</v>
      </c>
      <c r="J42" s="355">
        <f>J41/_KWturb</f>
        <v>0</v>
      </c>
      <c r="K42" s="355" t="s">
        <v>627</v>
      </c>
      <c r="P42" s="355">
        <f>P41/_KWturb</f>
        <v>-32.500227949555885</v>
      </c>
      <c r="Q42" s="355" t="s">
        <v>627</v>
      </c>
      <c r="V42" s="355">
        <f>V41/_KWturb</f>
        <v>-4.2192554419785919</v>
      </c>
      <c r="W42" s="355" t="s">
        <v>627</v>
      </c>
      <c r="AB42" s="355">
        <f>AB41/_KWturb</f>
        <v>-38.942528521363883</v>
      </c>
      <c r="AC42" s="355" t="s">
        <v>627</v>
      </c>
      <c r="AH42" s="355">
        <f>AH41/_KWturb</f>
        <v>-286.23598917507093</v>
      </c>
      <c r="AI42" s="355" t="s">
        <v>627</v>
      </c>
      <c r="AN42" s="355">
        <f>AN41/_KWturb</f>
        <v>-286.89716352712804</v>
      </c>
      <c r="AO42" s="355" t="s">
        <v>627</v>
      </c>
      <c r="AT42" s="355">
        <f>AT41/_KWturb</f>
        <v>132.39040046960488</v>
      </c>
      <c r="AU42" s="355" t="s">
        <v>627</v>
      </c>
    </row>
    <row r="44" spans="1:48">
      <c r="A44" s="6">
        <v>2008</v>
      </c>
    </row>
    <row r="45" spans="1:48">
      <c r="A45" s="6">
        <v>2009</v>
      </c>
      <c r="AH45" s="4">
        <f>AH4-AB4</f>
        <v>-494586.92130741413</v>
      </c>
      <c r="AN45" s="4">
        <f>AN4-AH4</f>
        <v>-79207.405746842036</v>
      </c>
    </row>
    <row r="46" spans="1:48">
      <c r="A46" s="472">
        <v>2010</v>
      </c>
      <c r="AH46" s="4">
        <f>AH5-AB5</f>
        <v>-483397.17195656762</v>
      </c>
      <c r="AN46" s="4">
        <f t="shared" ref="AN46:AN64" si="58">AN5-AH5</f>
        <v>-84355.887120386818</v>
      </c>
    </row>
    <row r="47" spans="1:48">
      <c r="A47" s="472">
        <v>2011</v>
      </c>
      <c r="AH47" s="4">
        <f t="shared" ref="AH47:AH64" si="59">AH6-AB6</f>
        <v>-469969.47273555194</v>
      </c>
      <c r="AN47" s="4">
        <f t="shared" si="58"/>
        <v>-89839.019783211988</v>
      </c>
    </row>
    <row r="48" spans="1:48">
      <c r="A48" s="472">
        <v>2012</v>
      </c>
      <c r="AH48" s="4">
        <f t="shared" si="59"/>
        <v>-454303.82364436687</v>
      </c>
      <c r="AN48" s="4">
        <f t="shared" si="58"/>
        <v>-95678.556069120765</v>
      </c>
    </row>
    <row r="49" spans="1:40">
      <c r="A49" s="472">
        <v>2013</v>
      </c>
      <c r="AH49" s="4">
        <f t="shared" si="59"/>
        <v>-440876.12442335096</v>
      </c>
      <c r="AN49" s="4">
        <f t="shared" si="58"/>
        <v>-101897.66221361363</v>
      </c>
    </row>
    <row r="50" spans="1:40">
      <c r="A50" s="472">
        <v>2014</v>
      </c>
      <c r="AH50" s="4">
        <f t="shared" si="59"/>
        <v>-425210.47533216589</v>
      </c>
      <c r="AN50" s="4">
        <f t="shared" si="58"/>
        <v>-108521.01025749848</v>
      </c>
    </row>
    <row r="51" spans="1:40">
      <c r="A51" s="472">
        <v>2015</v>
      </c>
      <c r="AH51" s="4">
        <f t="shared" si="59"/>
        <v>-407306.87637081166</v>
      </c>
      <c r="AN51" s="4">
        <f t="shared" si="58"/>
        <v>-115574.87592423591</v>
      </c>
    </row>
    <row r="52" spans="1:40">
      <c r="A52" s="472">
        <v>2016</v>
      </c>
      <c r="AH52" s="4">
        <f t="shared" si="59"/>
        <v>-389403.27740945719</v>
      </c>
      <c r="AN52" s="4">
        <f t="shared" si="58"/>
        <v>-121878.96006555785</v>
      </c>
    </row>
    <row r="53" spans="1:40">
      <c r="A53" s="472">
        <v>2017</v>
      </c>
      <c r="AH53" s="4">
        <f t="shared" si="59"/>
        <v>-369261.72857793362</v>
      </c>
      <c r="AN53" s="4">
        <f t="shared" si="58"/>
        <v>-130284.40558732039</v>
      </c>
    </row>
    <row r="54" spans="1:40">
      <c r="A54" s="472">
        <v>2018</v>
      </c>
      <c r="AH54" s="4">
        <f t="shared" si="59"/>
        <v>-349120.17974640994</v>
      </c>
      <c r="AN54" s="4">
        <f t="shared" si="58"/>
        <v>-140791.21248952369</v>
      </c>
    </row>
    <row r="55" spans="1:40">
      <c r="A55" s="472">
        <v>2019</v>
      </c>
      <c r="AH55" s="4">
        <f t="shared" si="59"/>
        <v>-326740.68104471703</v>
      </c>
      <c r="AN55" s="4">
        <f t="shared" si="58"/>
        <v>-149196.65801128629</v>
      </c>
    </row>
    <row r="56" spans="1:40">
      <c r="A56" s="472">
        <v>2020</v>
      </c>
      <c r="AH56" s="4">
        <f t="shared" si="59"/>
        <v>-302123.23247285478</v>
      </c>
      <c r="AN56" s="4">
        <f t="shared" si="58"/>
        <v>-159703.46491348959</v>
      </c>
    </row>
    <row r="57" spans="1:40">
      <c r="A57" s="472">
        <v>2021</v>
      </c>
      <c r="AH57" s="4">
        <f t="shared" si="59"/>
        <v>-277505.78390099254</v>
      </c>
      <c r="AN57" s="4">
        <f t="shared" si="58"/>
        <v>-170210.27181569277</v>
      </c>
    </row>
    <row r="58" spans="1:40">
      <c r="A58" s="472">
        <v>2022</v>
      </c>
      <c r="AH58" s="4">
        <f t="shared" si="59"/>
        <v>-250650.38545896101</v>
      </c>
      <c r="AN58" s="4">
        <f t="shared" si="58"/>
        <v>-180717.07871789607</v>
      </c>
    </row>
    <row r="59" spans="1:40">
      <c r="A59" s="472">
        <v>2023</v>
      </c>
      <c r="AH59" s="4">
        <f t="shared" si="59"/>
        <v>-221557.03714676021</v>
      </c>
      <c r="AN59" s="4">
        <f t="shared" si="58"/>
        <v>-193325.24700054002</v>
      </c>
    </row>
    <row r="60" spans="1:40">
      <c r="A60" s="472">
        <v>2024</v>
      </c>
      <c r="AH60" s="4">
        <f t="shared" si="59"/>
        <v>-190225.73896439007</v>
      </c>
      <c r="AN60" s="4">
        <f t="shared" si="58"/>
        <v>-205933.41528318392</v>
      </c>
    </row>
    <row r="61" spans="1:40">
      <c r="A61" s="472">
        <v>2025</v>
      </c>
      <c r="AH61" s="4">
        <f t="shared" si="59"/>
        <v>-156656.49091185065</v>
      </c>
      <c r="AN61" s="4">
        <f t="shared" si="58"/>
        <v>-218541.58356582781</v>
      </c>
    </row>
    <row r="62" spans="1:40">
      <c r="A62" s="472">
        <v>2026</v>
      </c>
      <c r="AH62" s="4">
        <f t="shared" si="59"/>
        <v>-120849.29298914189</v>
      </c>
      <c r="AN62" s="4">
        <f t="shared" si="58"/>
        <v>-233251.11322891241</v>
      </c>
    </row>
    <row r="63" spans="1:40">
      <c r="A63" s="472">
        <v>2027</v>
      </c>
      <c r="AH63" s="4">
        <f t="shared" si="59"/>
        <v>-82804.145196263911</v>
      </c>
      <c r="AN63" s="4">
        <f t="shared" si="58"/>
        <v>-247960.64289199701</v>
      </c>
    </row>
    <row r="64" spans="1:40">
      <c r="A64" s="472">
        <v>2028</v>
      </c>
      <c r="AH64" s="4">
        <f t="shared" si="59"/>
        <v>-42521.047533216595</v>
      </c>
      <c r="AN64" s="4">
        <f t="shared" si="58"/>
        <v>-264078.08467997675</v>
      </c>
    </row>
    <row r="65" spans="33:40">
      <c r="AG65" s="46" t="s">
        <v>666</v>
      </c>
      <c r="AH65" s="532">
        <f>AVERAGE(AH45:AH64)</f>
        <v>-312753.494356159</v>
      </c>
      <c r="AM65" s="46" t="s">
        <v>671</v>
      </c>
      <c r="AN65" s="532">
        <f>AVERAGE(AN45:AN64)</f>
        <v>-154547.32776830572</v>
      </c>
    </row>
    <row r="66" spans="33:40">
      <c r="AG66" t="s">
        <v>672</v>
      </c>
      <c r="AH66" s="4">
        <f>AH65/_KWturb</f>
        <v>-156.37674717807951</v>
      </c>
      <c r="AM66" t="s">
        <v>672</v>
      </c>
      <c r="AN66" s="4">
        <f>AN65/_KWturb</f>
        <v>-77.273663884152867</v>
      </c>
    </row>
    <row r="67" spans="33:40">
      <c r="AH67" s="4"/>
      <c r="AN67" s="4"/>
    </row>
    <row r="68" spans="33:40">
      <c r="AH68" s="4"/>
      <c r="AN68" s="4"/>
    </row>
    <row r="69" spans="33:40">
      <c r="AH69" s="4"/>
      <c r="AN69" s="4"/>
    </row>
    <row r="70" spans="33:40">
      <c r="AH70" s="4"/>
      <c r="AN70" s="4"/>
    </row>
    <row r="71" spans="33:40">
      <c r="AH71" s="4"/>
      <c r="AN71" s="4"/>
    </row>
    <row r="72" spans="33:40">
      <c r="AH72" s="4"/>
      <c r="AN72" s="4"/>
    </row>
  </sheetData>
  <mergeCells count="8">
    <mergeCell ref="AL1:AP1"/>
    <mergeCell ref="AR1:AV1"/>
    <mergeCell ref="A1:F1"/>
    <mergeCell ref="N1:R1"/>
    <mergeCell ref="T1:X1"/>
    <mergeCell ref="Z1:AD1"/>
    <mergeCell ref="H1:L1"/>
    <mergeCell ref="AF1:AJ1"/>
  </mergeCells>
  <phoneticPr fontId="4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4"/>
  <dimension ref="A1:K122"/>
  <sheetViews>
    <sheetView topLeftCell="A67" zoomScale="85" zoomScaleNormal="85" workbookViewId="0">
      <selection activeCell="G85" sqref="G85"/>
    </sheetView>
  </sheetViews>
  <sheetFormatPr defaultRowHeight="15"/>
  <cols>
    <col min="1" max="1" width="54" customWidth="1"/>
    <col min="2" max="2" width="16.7109375" customWidth="1"/>
    <col min="3" max="3" width="11.5703125" customWidth="1"/>
    <col min="4" max="4" width="11.7109375" customWidth="1"/>
    <col min="5" max="5" width="14.85546875" customWidth="1"/>
    <col min="6" max="6" width="14.85546875" bestFit="1" customWidth="1"/>
    <col min="7" max="7" width="12" customWidth="1"/>
    <col min="8" max="8" width="9.140625" style="283"/>
    <col min="9" max="9" width="13.28515625" customWidth="1"/>
    <col min="10" max="10" width="14.5703125" customWidth="1"/>
  </cols>
  <sheetData>
    <row r="1" spans="1:8" ht="18">
      <c r="A1" s="60" t="s">
        <v>101</v>
      </c>
      <c r="B1" s="61"/>
      <c r="C1" s="61"/>
      <c r="D1" s="61"/>
      <c r="E1" s="61"/>
      <c r="G1" s="177"/>
      <c r="H1" s="291"/>
    </row>
    <row r="2" spans="1:8" ht="18">
      <c r="A2" s="60"/>
      <c r="B2" s="61"/>
      <c r="C2" s="61"/>
      <c r="D2" s="61"/>
      <c r="E2" s="61"/>
      <c r="G2" s="177"/>
      <c r="H2" s="291"/>
    </row>
    <row r="3" spans="1:8">
      <c r="A3" s="62" t="s">
        <v>102</v>
      </c>
      <c r="B3" s="63"/>
      <c r="C3" s="63"/>
      <c r="D3" s="63"/>
      <c r="E3" s="63"/>
      <c r="G3" s="177"/>
      <c r="H3" s="291"/>
    </row>
    <row r="4" spans="1:8">
      <c r="A4" s="62" t="s">
        <v>103</v>
      </c>
      <c r="B4" s="63"/>
      <c r="C4" s="63"/>
      <c r="D4" s="63"/>
      <c r="E4" s="63"/>
      <c r="G4" s="177"/>
      <c r="H4" s="291"/>
    </row>
    <row r="5" spans="1:8">
      <c r="A5" s="62" t="s">
        <v>104</v>
      </c>
      <c r="B5" s="63"/>
      <c r="C5" s="63"/>
      <c r="D5" s="63"/>
      <c r="E5" s="63"/>
      <c r="G5" s="177"/>
      <c r="H5" s="291"/>
    </row>
    <row r="6" spans="1:8">
      <c r="A6" s="62" t="s">
        <v>105</v>
      </c>
      <c r="B6" s="63"/>
      <c r="C6" s="63"/>
      <c r="D6" s="63"/>
      <c r="E6" s="63"/>
      <c r="G6" s="177"/>
      <c r="H6" s="291"/>
    </row>
    <row r="7" spans="1:8">
      <c r="A7" s="62" t="s">
        <v>106</v>
      </c>
      <c r="B7" s="63"/>
      <c r="C7" s="63"/>
      <c r="D7" s="63"/>
      <c r="E7" s="63"/>
      <c r="G7" s="177"/>
      <c r="H7" s="291"/>
    </row>
    <row r="8" spans="1:8">
      <c r="A8" s="62" t="s">
        <v>107</v>
      </c>
      <c r="B8" s="63"/>
      <c r="C8" s="63"/>
      <c r="D8" s="63"/>
      <c r="E8" s="63"/>
      <c r="G8" s="177"/>
      <c r="H8" s="291"/>
    </row>
    <row r="9" spans="1:8">
      <c r="A9" s="62" t="s">
        <v>108</v>
      </c>
      <c r="B9" s="63"/>
      <c r="C9" s="63"/>
      <c r="D9" s="63"/>
      <c r="E9" s="64"/>
      <c r="G9" s="177"/>
      <c r="H9" s="291"/>
    </row>
    <row r="10" spans="1:8">
      <c r="A10" s="66"/>
      <c r="B10" s="67"/>
      <c r="C10" s="67"/>
      <c r="D10" s="67"/>
      <c r="E10" s="67"/>
      <c r="G10" s="177"/>
      <c r="H10" s="291"/>
    </row>
    <row r="11" spans="1:8">
      <c r="A11" s="66"/>
      <c r="B11" s="67"/>
      <c r="C11" s="67"/>
      <c r="D11" s="67"/>
      <c r="E11" s="67"/>
      <c r="G11" s="177"/>
      <c r="H11" s="291"/>
    </row>
    <row r="12" spans="1:8" ht="15.75">
      <c r="A12" s="68" t="s">
        <v>109</v>
      </c>
      <c r="B12" s="67"/>
      <c r="C12" s="69" t="str">
        <f>IF(B13="MYREGION",IF('[3]User Add-in Location'!F23=0,"Error - No Regional multiplier data in User Add-in Location",""),IF(B13="MYCOUNTY",IF('[3]User Add-in Location'!E23=0,"Error - No County multiplier data in User Add-in Location",""),""))</f>
        <v/>
      </c>
      <c r="D12" s="70"/>
      <c r="E12" s="67"/>
      <c r="G12" s="177"/>
      <c r="H12" s="291"/>
    </row>
    <row r="13" spans="1:8">
      <c r="A13" s="66" t="s">
        <v>110</v>
      </c>
      <c r="B13" s="71" t="s">
        <v>243</v>
      </c>
      <c r="C13" s="72" t="str">
        <f>IF(B13="MYREGION",IF('[3]User Add-in Location'!F23=0,"",IF(B13="MYREGION","          Enter Region Population","")),IF(B13="MYCOUNTY",IF('[3]User Add-in Location'!E23=0,"",IF(B13="MYCOUNTY","                Enter County Population","")),""))</f>
        <v/>
      </c>
      <c r="D13" s="73"/>
      <c r="E13" s="67"/>
      <c r="G13" s="177"/>
      <c r="H13" s="291"/>
    </row>
    <row r="14" spans="1:8">
      <c r="A14" s="74" t="s">
        <v>111</v>
      </c>
      <c r="B14" s="75"/>
      <c r="C14" s="72"/>
      <c r="D14" s="69" t="str">
        <f>IF(C13="","",IF(B14&lt;1,"**Error - Population Data Missing**",""))</f>
        <v/>
      </c>
      <c r="E14" s="67"/>
      <c r="G14" s="177"/>
      <c r="H14" s="291"/>
    </row>
    <row r="15" spans="1:8">
      <c r="A15" s="66" t="s">
        <v>112</v>
      </c>
      <c r="B15" s="76">
        <v>2009</v>
      </c>
      <c r="C15" s="72" t="str">
        <f>IF(B15&gt;2030,"     **Error - Year of Construction exceeds 2030 - please revise**","")</f>
        <v/>
      </c>
      <c r="D15" s="70"/>
      <c r="E15" s="67"/>
      <c r="G15" s="177"/>
      <c r="H15" s="291"/>
    </row>
    <row r="16" spans="1:8">
      <c r="A16" s="66" t="s">
        <v>113</v>
      </c>
      <c r="B16" s="77">
        <v>100</v>
      </c>
      <c r="C16" s="69" t="str">
        <f>IF(B$17&gt;1," **Note: Modeling results are calculated based on 'Total Project Size'.","")</f>
        <v/>
      </c>
      <c r="D16" s="67"/>
      <c r="E16" s="67"/>
      <c r="F16">
        <f>_MW*1000</f>
        <v>100000</v>
      </c>
      <c r="G16" s="177" t="s">
        <v>304</v>
      </c>
      <c r="H16" s="291"/>
    </row>
    <row r="17" spans="1:10">
      <c r="A17" s="78" t="s">
        <v>114</v>
      </c>
      <c r="B17" s="77">
        <v>1</v>
      </c>
      <c r="C17" s="69" t="str">
        <f>IF(B$17&gt;1,"   The 'Number of Projects' entered does not change the calculation.**","")</f>
        <v/>
      </c>
      <c r="D17" s="67"/>
      <c r="E17" s="67"/>
      <c r="G17" s="177"/>
      <c r="H17" s="291"/>
    </row>
    <row r="18" spans="1:10">
      <c r="A18" s="66" t="s">
        <v>115</v>
      </c>
      <c r="B18" s="75">
        <v>2000</v>
      </c>
      <c r="C18" s="69" t="str">
        <f>IF(B$17&gt;1,"   Due to economies of scale for projects above 20 MW, Users are ","")</f>
        <v/>
      </c>
      <c r="D18" s="79"/>
      <c r="E18" s="67"/>
      <c r="G18" s="177"/>
      <c r="H18" s="291"/>
    </row>
    <row r="19" spans="1:10">
      <c r="A19" s="66" t="s">
        <v>116</v>
      </c>
      <c r="B19" s="80">
        <v>50</v>
      </c>
      <c r="C19" s="69" t="str">
        <f>IF(B$17&gt;1,"   encouraged to analyze projects individually rather than as a group. ","")</f>
        <v/>
      </c>
      <c r="D19" s="79"/>
      <c r="E19" s="72"/>
      <c r="G19" s="177"/>
      <c r="H19" s="291"/>
    </row>
    <row r="20" spans="1:10">
      <c r="A20" s="66" t="s">
        <v>117</v>
      </c>
      <c r="B20" s="81">
        <v>2032.0135593072343</v>
      </c>
      <c r="C20" s="82"/>
      <c r="D20" s="69" t="str">
        <f>IF(B$21&lt;[3]DefaultData!AS$53,"  Please review O&amp;M Materials &amp; Services parameters; ","")</f>
        <v xml:space="preserve">  Please review O&amp;M Materials &amp; Services parameters; </v>
      </c>
      <c r="E20" s="72"/>
      <c r="G20" s="177"/>
      <c r="H20" s="291"/>
    </row>
    <row r="21" spans="1:10">
      <c r="A21" s="66" t="s">
        <v>118</v>
      </c>
      <c r="B21" s="83">
        <v>19.822626779997869</v>
      </c>
      <c r="C21" s="82"/>
      <c r="D21" s="69" t="str">
        <f>IF(B$21&lt;[3]DefaultData!AS$53,"  costs may be below industry standards.**","")</f>
        <v xml:space="preserve">  costs may be below industry standards.**</v>
      </c>
      <c r="E21" s="67"/>
      <c r="G21" s="177"/>
      <c r="H21" s="291"/>
    </row>
    <row r="22" spans="1:10">
      <c r="A22" s="66" t="s">
        <v>119</v>
      </c>
      <c r="B22" s="84">
        <v>2008</v>
      </c>
      <c r="C22" s="82" t="str">
        <f>IF($B$22&gt;2030,"     **Error - Money Value (Dollar Year) Exceeds 2030 - please revise**",IF(B22&lt;1996,"     **Error - Money Value (Dollar Year) is Below 1996 - please revise**",""))</f>
        <v/>
      </c>
      <c r="D22" s="79"/>
      <c r="E22" s="67"/>
      <c r="G22" s="177"/>
      <c r="H22" s="291"/>
    </row>
    <row r="23" spans="1:10">
      <c r="A23" s="61"/>
      <c r="B23" s="82"/>
      <c r="C23" s="61"/>
      <c r="D23" s="85"/>
      <c r="E23" s="67"/>
      <c r="G23" s="177"/>
      <c r="H23" s="291"/>
    </row>
    <row r="24" spans="1:10" ht="15" customHeight="1">
      <c r="A24" s="486" t="s">
        <v>120</v>
      </c>
      <c r="B24" s="86" t="s">
        <v>121</v>
      </c>
      <c r="C24" s="67"/>
      <c r="D24" s="87" t="str">
        <f>IF($B$24="y","Press 'Go To Summary Impacts' Button",IF($B$24="N","Modify Project Cost Data (change data below)","Error - Re-enter 'Y' or 'N'"))</f>
        <v>Modify Project Cost Data (change data below)</v>
      </c>
      <c r="E24" s="67"/>
      <c r="G24" s="177"/>
      <c r="H24" s="291"/>
    </row>
    <row r="25" spans="1:10">
      <c r="A25" s="487"/>
      <c r="B25" s="88"/>
      <c r="C25" s="67"/>
      <c r="D25" s="67"/>
      <c r="E25" s="67"/>
      <c r="G25" s="177"/>
      <c r="H25" s="291"/>
    </row>
    <row r="26" spans="1:10" ht="24" customHeight="1">
      <c r="A26" s="487"/>
      <c r="B26" s="88"/>
      <c r="C26" s="67"/>
      <c r="D26" s="67"/>
      <c r="E26" s="67"/>
      <c r="G26" s="177"/>
      <c r="H26" s="291"/>
    </row>
    <row r="27" spans="1:10" ht="15" customHeight="1">
      <c r="A27" s="488" t="s">
        <v>122</v>
      </c>
      <c r="B27" s="489"/>
      <c r="C27" s="489"/>
      <c r="D27" s="489"/>
      <c r="E27" s="489"/>
      <c r="G27" s="177"/>
      <c r="H27" s="291"/>
    </row>
    <row r="28" spans="1:10">
      <c r="A28" s="89"/>
      <c r="B28" s="88"/>
      <c r="C28" s="67"/>
      <c r="D28" s="67"/>
      <c r="E28" s="67"/>
      <c r="G28" s="177"/>
      <c r="H28" s="291"/>
    </row>
    <row r="29" spans="1:10" ht="15.75">
      <c r="A29" s="90" t="s">
        <v>123</v>
      </c>
      <c r="B29" s="67"/>
      <c r="C29" s="67"/>
      <c r="D29" s="67"/>
      <c r="E29" s="67"/>
      <c r="G29" s="177"/>
      <c r="H29" s="291"/>
    </row>
    <row r="30" spans="1:10">
      <c r="A30" s="72"/>
      <c r="B30" s="67"/>
      <c r="C30" s="91" t="s">
        <v>124</v>
      </c>
      <c r="D30" s="66" t="s">
        <v>125</v>
      </c>
      <c r="E30" s="92"/>
      <c r="F30" s="5" t="s">
        <v>301</v>
      </c>
      <c r="G30" s="5" t="s">
        <v>302</v>
      </c>
      <c r="H30" s="292"/>
      <c r="I30" s="5" t="s">
        <v>84</v>
      </c>
      <c r="J30" s="187" t="s">
        <v>84</v>
      </c>
    </row>
    <row r="31" spans="1:10">
      <c r="A31" s="89" t="s">
        <v>126</v>
      </c>
      <c r="B31" s="92" t="s">
        <v>84</v>
      </c>
      <c r="C31" s="91" t="s">
        <v>127</v>
      </c>
      <c r="D31" s="66" t="s">
        <v>128</v>
      </c>
      <c r="E31" s="92" t="s">
        <v>129</v>
      </c>
      <c r="F31" s="5" t="s">
        <v>371</v>
      </c>
      <c r="G31" s="5" t="s">
        <v>303</v>
      </c>
      <c r="H31" s="292"/>
      <c r="I31" s="5" t="s">
        <v>356</v>
      </c>
      <c r="J31" s="187" t="s">
        <v>247</v>
      </c>
    </row>
    <row r="32" spans="1:10">
      <c r="A32" s="93" t="s">
        <v>130</v>
      </c>
      <c r="B32" s="94"/>
      <c r="C32" s="95"/>
      <c r="D32" s="96"/>
      <c r="E32" s="97"/>
      <c r="G32" s="177"/>
      <c r="H32" s="291"/>
      <c r="I32" s="6"/>
      <c r="J32" s="177"/>
    </row>
    <row r="33" spans="1:10">
      <c r="A33" s="98" t="s">
        <v>131</v>
      </c>
      <c r="B33" s="99">
        <v>91066790.109365597</v>
      </c>
      <c r="C33" s="95">
        <v>910.66790109365593</v>
      </c>
      <c r="D33" s="96">
        <v>0.4480751480118082</v>
      </c>
      <c r="E33" s="100">
        <v>0</v>
      </c>
      <c r="G33" s="177"/>
      <c r="H33" s="291"/>
      <c r="I33" s="178">
        <f>C33</f>
        <v>910.66790109365593</v>
      </c>
      <c r="J33" s="177">
        <f>C33*$B$18</f>
        <v>1821335.8021873119</v>
      </c>
    </row>
    <row r="34" spans="1:10">
      <c r="A34" s="101" t="s">
        <v>132</v>
      </c>
      <c r="B34" s="99">
        <v>21319984.306540441</v>
      </c>
      <c r="C34" s="95">
        <v>213.19984306540439</v>
      </c>
      <c r="D34" s="96">
        <v>0.1049005363238347</v>
      </c>
      <c r="E34" s="100">
        <v>0</v>
      </c>
      <c r="G34" s="177"/>
      <c r="H34" s="291"/>
      <c r="I34" s="178">
        <f t="shared" ref="I34:I97" si="0">C34</f>
        <v>213.19984306540439</v>
      </c>
      <c r="J34" s="177">
        <f>C34*$B$18</f>
        <v>426399.68613080878</v>
      </c>
    </row>
    <row r="35" spans="1:10">
      <c r="A35" s="101" t="s">
        <v>133</v>
      </c>
      <c r="B35" s="99">
        <v>23604268.339384057</v>
      </c>
      <c r="C35" s="95">
        <v>236.04268339384058</v>
      </c>
      <c r="D35" s="96">
        <v>0.1161398795013884</v>
      </c>
      <c r="E35" s="100">
        <v>0</v>
      </c>
      <c r="G35" s="177"/>
      <c r="H35" s="291"/>
      <c r="I35" s="178">
        <f t="shared" si="0"/>
        <v>236.04268339384058</v>
      </c>
      <c r="J35" s="177">
        <f>C35*$B$18</f>
        <v>472085.36678768118</v>
      </c>
    </row>
    <row r="36" spans="1:10">
      <c r="A36" s="101" t="s">
        <v>134</v>
      </c>
      <c r="B36" s="99">
        <v>16294559.43428448</v>
      </c>
      <c r="C36" s="95">
        <v>162.9455943428448</v>
      </c>
      <c r="D36" s="96">
        <v>8.0173981333216515E-2</v>
      </c>
      <c r="E36" s="100">
        <v>0</v>
      </c>
      <c r="G36" s="177"/>
      <c r="H36" s="291"/>
      <c r="I36" s="178">
        <f t="shared" si="0"/>
        <v>162.9455943428448</v>
      </c>
      <c r="J36" s="177">
        <f>C36*$B$18</f>
        <v>325891.18868568959</v>
      </c>
    </row>
    <row r="37" spans="1:10">
      <c r="A37" s="98" t="s">
        <v>135</v>
      </c>
      <c r="B37" s="182">
        <v>152285602.18957457</v>
      </c>
      <c r="C37" s="336">
        <v>1522.8560218957457</v>
      </c>
      <c r="D37" s="103">
        <v>0.74928954517024782</v>
      </c>
      <c r="E37" s="97"/>
      <c r="F37" s="295">
        <f>SUM(C37)</f>
        <v>1522.8560218957457</v>
      </c>
      <c r="G37" s="177" t="s">
        <v>306</v>
      </c>
      <c r="H37" s="291"/>
      <c r="I37" s="178">
        <f t="shared" si="0"/>
        <v>1522.8560218957457</v>
      </c>
      <c r="J37" s="177">
        <f>C37*$B$18</f>
        <v>3045712.0437914915</v>
      </c>
    </row>
    <row r="38" spans="1:10">
      <c r="A38" s="104" t="s">
        <v>136</v>
      </c>
      <c r="B38" s="94"/>
      <c r="C38" s="102"/>
      <c r="D38" s="103"/>
      <c r="E38" s="103"/>
      <c r="G38" s="177"/>
      <c r="H38" s="291"/>
      <c r="I38" s="178"/>
      <c r="J38" s="177"/>
    </row>
    <row r="39" spans="1:10">
      <c r="A39" s="101" t="s">
        <v>137</v>
      </c>
      <c r="B39" s="67"/>
      <c r="C39" s="91"/>
      <c r="D39" s="66"/>
      <c r="E39" s="92"/>
      <c r="G39" s="177"/>
      <c r="H39" s="291"/>
      <c r="I39" s="178"/>
      <c r="J39" s="177"/>
    </row>
    <row r="40" spans="1:10">
      <c r="A40" s="98" t="s">
        <v>138</v>
      </c>
      <c r="B40" s="99">
        <v>22005269.811821721</v>
      </c>
      <c r="C40" s="95">
        <v>220.05269811821722</v>
      </c>
      <c r="D40" s="96">
        <v>0.10827234073069364</v>
      </c>
      <c r="E40" s="100">
        <v>0.9</v>
      </c>
      <c r="G40" s="177"/>
      <c r="H40" s="291"/>
      <c r="I40" s="178">
        <f t="shared" si="0"/>
        <v>220.05269811821722</v>
      </c>
      <c r="J40" s="177">
        <f>C40*$B$18</f>
        <v>440105.39623643446</v>
      </c>
    </row>
    <row r="41" spans="1:10">
      <c r="A41" s="101" t="s">
        <v>139</v>
      </c>
      <c r="B41" s="99">
        <v>2489252.2217366141</v>
      </c>
      <c r="C41" s="95">
        <v>24.892522217366142</v>
      </c>
      <c r="D41" s="96">
        <v>1.2247846403215298E-2</v>
      </c>
      <c r="E41" s="100">
        <v>0</v>
      </c>
      <c r="G41" s="177"/>
      <c r="H41" s="291"/>
      <c r="I41" s="178">
        <f t="shared" si="0"/>
        <v>24.892522217366142</v>
      </c>
      <c r="J41" s="177">
        <f>C41*$B$18</f>
        <v>49785.044434732285</v>
      </c>
    </row>
    <row r="42" spans="1:10">
      <c r="A42" s="101" t="s">
        <v>140</v>
      </c>
      <c r="B42" s="99">
        <v>2623840.0433193394</v>
      </c>
      <c r="C42" s="95">
        <v>26.238400433193394</v>
      </c>
      <c r="D42" s="96">
        <v>1.2910057709925935E-2</v>
      </c>
      <c r="E42" s="100">
        <v>1</v>
      </c>
      <c r="G42" s="177"/>
      <c r="H42" s="291"/>
      <c r="I42" s="178">
        <f t="shared" si="0"/>
        <v>26.238400433193394</v>
      </c>
      <c r="J42" s="177">
        <f>C42*$B$18</f>
        <v>52476.800866386788</v>
      </c>
    </row>
    <row r="43" spans="1:10">
      <c r="A43" s="101" t="s">
        <v>141</v>
      </c>
      <c r="B43" s="99">
        <v>4792880.4022677857</v>
      </c>
      <c r="C43" s="95">
        <v>47.928804022677859</v>
      </c>
      <c r="D43" s="96">
        <v>2.3582368425085952E-2</v>
      </c>
      <c r="E43" s="100">
        <v>0.7</v>
      </c>
      <c r="G43" s="177"/>
      <c r="H43" s="291"/>
      <c r="I43" s="178">
        <f t="shared" si="0"/>
        <v>47.928804022677859</v>
      </c>
      <c r="J43" s="177">
        <f>C43*$B$18</f>
        <v>95857.608045355722</v>
      </c>
    </row>
    <row r="44" spans="1:10">
      <c r="A44" s="98" t="s">
        <v>142</v>
      </c>
      <c r="B44" s="94">
        <v>31911242.47914546</v>
      </c>
      <c r="C44" s="95">
        <v>319.11242479145466</v>
      </c>
      <c r="D44" s="103">
        <v>0.15701261326892083</v>
      </c>
      <c r="E44" s="97"/>
      <c r="F44" s="367">
        <f>C44</f>
        <v>319.11242479145466</v>
      </c>
      <c r="G44" s="305" t="s">
        <v>370</v>
      </c>
      <c r="H44" s="291"/>
      <c r="I44" s="178">
        <f t="shared" si="0"/>
        <v>319.11242479145466</v>
      </c>
      <c r="J44" s="177">
        <f>C44*$B$18</f>
        <v>638224.84958290926</v>
      </c>
    </row>
    <row r="45" spans="1:10">
      <c r="A45" s="101" t="s">
        <v>143</v>
      </c>
      <c r="B45" s="105" t="s">
        <v>244</v>
      </c>
      <c r="C45" s="95"/>
      <c r="D45" s="96"/>
      <c r="E45" s="106"/>
      <c r="G45" s="177"/>
      <c r="H45" s="291"/>
      <c r="I45" s="178"/>
      <c r="J45" s="177"/>
    </row>
    <row r="46" spans="1:10">
      <c r="A46" s="101" t="s">
        <v>144</v>
      </c>
      <c r="B46" s="99">
        <v>1215941.7097403249</v>
      </c>
      <c r="C46" s="95">
        <v>12.159417097403249</v>
      </c>
      <c r="D46" s="96">
        <v>5.9827875882230621E-3</v>
      </c>
      <c r="E46" s="100">
        <v>0.95</v>
      </c>
      <c r="G46" s="177"/>
      <c r="H46" s="291"/>
      <c r="I46" s="178">
        <f t="shared" si="0"/>
        <v>12.159417097403249</v>
      </c>
      <c r="J46" s="177">
        <f t="shared" ref="J46:J51" si="1">C46*$B$18</f>
        <v>24318.834194806499</v>
      </c>
    </row>
    <row r="47" spans="1:10">
      <c r="A47" s="101" t="s">
        <v>145</v>
      </c>
      <c r="B47" s="99">
        <v>1377226.5544274966</v>
      </c>
      <c r="C47" s="95">
        <v>13.772265544274966</v>
      </c>
      <c r="D47" s="96">
        <v>6.776356029237365E-3</v>
      </c>
      <c r="E47" s="100">
        <v>0.75</v>
      </c>
      <c r="G47" s="177"/>
      <c r="H47" s="291"/>
      <c r="I47" s="178">
        <f t="shared" si="0"/>
        <v>13.772265544274966</v>
      </c>
      <c r="J47" s="177">
        <f t="shared" si="1"/>
        <v>27544.531088549931</v>
      </c>
    </row>
    <row r="48" spans="1:10">
      <c r="A48" s="101" t="s">
        <v>146</v>
      </c>
      <c r="B48" s="99">
        <v>2007033.9170762924</v>
      </c>
      <c r="C48" s="95">
        <v>20.070339170762924</v>
      </c>
      <c r="D48" s="96">
        <v>9.8751918056919838E-3</v>
      </c>
      <c r="E48" s="100">
        <v>0.7</v>
      </c>
      <c r="G48" s="177"/>
      <c r="H48" s="291"/>
      <c r="I48" s="178">
        <f t="shared" si="0"/>
        <v>20.070339170762924</v>
      </c>
      <c r="J48" s="177">
        <f t="shared" si="1"/>
        <v>40140.678341525847</v>
      </c>
    </row>
    <row r="49" spans="1:10">
      <c r="A49" s="101" t="s">
        <v>147</v>
      </c>
      <c r="B49" s="99">
        <v>1041453.6116528051</v>
      </c>
      <c r="C49" s="95">
        <v>10.414536116528051</v>
      </c>
      <c r="D49" s="96">
        <v>5.124255292498458E-3</v>
      </c>
      <c r="E49" s="100">
        <v>0</v>
      </c>
      <c r="G49" s="177"/>
      <c r="H49" s="291"/>
      <c r="I49" s="178">
        <f t="shared" si="0"/>
        <v>10.414536116528051</v>
      </c>
      <c r="J49" s="177">
        <f t="shared" si="1"/>
        <v>20829.072233056104</v>
      </c>
    </row>
    <row r="50" spans="1:10">
      <c r="A50" s="101" t="s">
        <v>148</v>
      </c>
      <c r="B50" s="99">
        <v>7721651.52536749</v>
      </c>
      <c r="C50" s="95">
        <v>77.216515253674899</v>
      </c>
      <c r="D50" s="96">
        <v>3.7992775917209121E-2</v>
      </c>
      <c r="E50" s="100">
        <v>0.5</v>
      </c>
      <c r="G50" s="177"/>
      <c r="H50" s="291"/>
      <c r="I50" s="178">
        <f t="shared" si="0"/>
        <v>77.216515253674899</v>
      </c>
      <c r="J50" s="177">
        <f t="shared" si="1"/>
        <v>154433.03050734979</v>
      </c>
    </row>
    <row r="51" spans="1:10">
      <c r="A51" s="98" t="s">
        <v>149</v>
      </c>
      <c r="B51" s="107">
        <v>13363307.31826441</v>
      </c>
      <c r="C51" s="95">
        <v>133.6330731826441</v>
      </c>
      <c r="D51" s="108">
        <v>6.5751366632859992E-2</v>
      </c>
      <c r="E51" s="97"/>
      <c r="G51" s="177"/>
      <c r="H51" s="291"/>
      <c r="I51" s="178">
        <f t="shared" si="0"/>
        <v>133.6330731826441</v>
      </c>
      <c r="J51" s="177">
        <f t="shared" si="1"/>
        <v>267266.14636528818</v>
      </c>
    </row>
    <row r="52" spans="1:10">
      <c r="A52" s="101" t="s">
        <v>150</v>
      </c>
      <c r="B52" s="109"/>
      <c r="C52" s="95"/>
      <c r="D52" s="96"/>
      <c r="E52" s="97"/>
      <c r="G52" s="177"/>
      <c r="H52" s="291"/>
      <c r="I52" s="178"/>
      <c r="J52" s="177"/>
    </row>
    <row r="53" spans="1:10">
      <c r="A53" s="101" t="s">
        <v>151</v>
      </c>
      <c r="B53" s="107"/>
      <c r="C53" s="110"/>
      <c r="D53" s="108"/>
      <c r="E53" s="97"/>
      <c r="G53" s="177"/>
      <c r="H53" s="291"/>
      <c r="I53" s="178"/>
      <c r="J53" s="177"/>
    </row>
    <row r="54" spans="1:10">
      <c r="A54" s="101" t="s">
        <v>152</v>
      </c>
      <c r="B54" s="99">
        <v>1512338.0534501823</v>
      </c>
      <c r="C54" s="95">
        <v>15.123380534501823</v>
      </c>
      <c r="D54" s="96">
        <v>7.44114398157413E-3</v>
      </c>
      <c r="E54" s="100">
        <v>0.9</v>
      </c>
      <c r="F54" s="367">
        <f>C54</f>
        <v>15.123380534501823</v>
      </c>
      <c r="G54" s="177" t="s">
        <v>372</v>
      </c>
      <c r="H54" s="291"/>
      <c r="I54" s="178">
        <f t="shared" si="0"/>
        <v>15.123380534501823</v>
      </c>
      <c r="J54" s="177">
        <f t="shared" ref="J54:J62" si="2">C54*$B$18</f>
        <v>30246.761069003645</v>
      </c>
    </row>
    <row r="55" spans="1:10">
      <c r="A55" s="101" t="s">
        <v>153</v>
      </c>
      <c r="B55" s="99">
        <v>463258.94792808266</v>
      </c>
      <c r="C55" s="95">
        <v>4.6325894792808269</v>
      </c>
      <c r="D55" s="96">
        <v>2.2793690368507072E-3</v>
      </c>
      <c r="E55" s="100">
        <v>0.1</v>
      </c>
      <c r="G55" s="177"/>
      <c r="H55" s="291"/>
      <c r="I55" s="178">
        <f t="shared" si="0"/>
        <v>4.6325894792808269</v>
      </c>
      <c r="J55" s="177">
        <f t="shared" si="2"/>
        <v>9265.1789585616534</v>
      </c>
    </row>
    <row r="56" spans="1:10">
      <c r="A56" s="111" t="s">
        <v>154</v>
      </c>
      <c r="B56" s="99">
        <v>2057913.5431023589</v>
      </c>
      <c r="C56" s="95">
        <v>20.579135431023591</v>
      </c>
      <c r="D56" s="96">
        <v>1.0125534394192537E-2</v>
      </c>
      <c r="E56" s="100">
        <v>0</v>
      </c>
      <c r="G56" s="177"/>
      <c r="H56" s="291"/>
      <c r="I56" s="178">
        <f t="shared" si="0"/>
        <v>20.579135431023591</v>
      </c>
      <c r="J56" s="177">
        <f t="shared" si="2"/>
        <v>41158.270862047182</v>
      </c>
    </row>
    <row r="57" spans="1:10">
      <c r="A57" s="111" t="s">
        <v>155</v>
      </c>
      <c r="B57" s="99">
        <v>1121562.8809907855</v>
      </c>
      <c r="C57" s="95">
        <v>11.215628809907855</v>
      </c>
      <c r="D57" s="96">
        <v>5.5184162448349327E-3</v>
      </c>
      <c r="E57" s="100">
        <v>1</v>
      </c>
      <c r="G57" s="177"/>
      <c r="H57" s="291"/>
      <c r="I57" s="178">
        <f t="shared" si="0"/>
        <v>11.215628809907855</v>
      </c>
      <c r="J57" s="177">
        <f t="shared" si="2"/>
        <v>22431.257619815711</v>
      </c>
    </row>
    <row r="58" spans="1:10">
      <c r="A58" s="101" t="s">
        <v>156</v>
      </c>
      <c r="B58" s="99">
        <v>0</v>
      </c>
      <c r="C58" s="95">
        <v>0</v>
      </c>
      <c r="D58" s="96">
        <v>0</v>
      </c>
      <c r="E58" s="100">
        <v>1</v>
      </c>
      <c r="G58" s="177"/>
      <c r="H58" s="291"/>
      <c r="I58" s="178">
        <f t="shared" si="0"/>
        <v>0</v>
      </c>
      <c r="J58" s="177">
        <f t="shared" si="2"/>
        <v>0</v>
      </c>
    </row>
    <row r="59" spans="1:10">
      <c r="A59" s="101" t="s">
        <v>157</v>
      </c>
      <c r="B59" s="99">
        <v>524767.95349110174</v>
      </c>
      <c r="C59" s="95">
        <v>5.2476795349110175</v>
      </c>
      <c r="D59" s="96">
        <v>2.5820112705190979E-3</v>
      </c>
      <c r="E59" s="100">
        <v>1</v>
      </c>
      <c r="G59" s="177"/>
      <c r="H59" s="291"/>
      <c r="I59" s="178">
        <f t="shared" si="0"/>
        <v>5.2476795349110175</v>
      </c>
      <c r="J59" s="177">
        <f t="shared" si="2"/>
        <v>10495.359069822034</v>
      </c>
    </row>
    <row r="60" spans="1:10">
      <c r="A60" s="98" t="s">
        <v>158</v>
      </c>
      <c r="B60" s="94">
        <v>5679841.3789625112</v>
      </c>
      <c r="C60" s="95">
        <v>56.798413789625116</v>
      </c>
      <c r="D60" s="103">
        <v>2.7946474927971407E-2</v>
      </c>
      <c r="E60" s="97"/>
      <c r="G60" s="177"/>
      <c r="H60" s="291"/>
      <c r="I60" s="178">
        <f t="shared" si="0"/>
        <v>56.798413789625116</v>
      </c>
      <c r="J60" s="177">
        <f t="shared" si="2"/>
        <v>113596.82757925022</v>
      </c>
    </row>
    <row r="61" spans="1:10">
      <c r="A61" s="112" t="s">
        <v>159</v>
      </c>
      <c r="B61" s="182">
        <v>50954391.176372379</v>
      </c>
      <c r="C61" s="335">
        <v>509.54391176372388</v>
      </c>
      <c r="D61" s="103">
        <v>0.25071045482975224</v>
      </c>
      <c r="E61" s="97"/>
      <c r="F61" s="166">
        <f>C61</f>
        <v>509.54391176372388</v>
      </c>
      <c r="G61" s="177" t="s">
        <v>307</v>
      </c>
      <c r="H61" s="291"/>
      <c r="I61" s="178">
        <f t="shared" si="0"/>
        <v>509.54391176372388</v>
      </c>
      <c r="J61" s="177">
        <f t="shared" si="2"/>
        <v>1019087.8235274478</v>
      </c>
    </row>
    <row r="62" spans="1:10">
      <c r="A62" s="113" t="s">
        <v>160</v>
      </c>
      <c r="B62" s="182">
        <v>203239993.36594695</v>
      </c>
      <c r="C62" s="102">
        <v>2032.3999336594695</v>
      </c>
      <c r="D62" s="103">
        <v>1</v>
      </c>
      <c r="E62" s="97"/>
      <c r="G62" s="177"/>
      <c r="H62" s="291"/>
      <c r="I62" s="178">
        <f t="shared" si="0"/>
        <v>2032.3999336594695</v>
      </c>
      <c r="J62" s="177">
        <f t="shared" si="2"/>
        <v>4064799.867318939</v>
      </c>
    </row>
    <row r="63" spans="1:10">
      <c r="A63" s="113"/>
      <c r="B63" s="94"/>
      <c r="C63" s="61"/>
      <c r="D63" s="114"/>
      <c r="E63" s="115"/>
      <c r="G63" s="177"/>
      <c r="H63" s="291"/>
      <c r="I63" s="178">
        <f t="shared" si="0"/>
        <v>0</v>
      </c>
      <c r="J63" s="177"/>
    </row>
    <row r="64" spans="1:10" ht="15.75">
      <c r="A64" s="116" t="s">
        <v>161</v>
      </c>
      <c r="B64" s="94"/>
      <c r="C64" s="61"/>
      <c r="D64" s="114"/>
      <c r="E64" s="115"/>
      <c r="G64" s="177"/>
      <c r="H64" s="291"/>
      <c r="I64" s="178">
        <f t="shared" si="0"/>
        <v>0</v>
      </c>
      <c r="J64" s="177"/>
    </row>
    <row r="65" spans="1:11">
      <c r="A65" s="69" t="str">
        <f>D20</f>
        <v xml:space="preserve">  Please review O&amp;M Materials &amp; Services parameters; </v>
      </c>
      <c r="B65" s="67"/>
      <c r="C65" s="91" t="s">
        <v>124</v>
      </c>
      <c r="D65" s="66" t="s">
        <v>125</v>
      </c>
      <c r="E65" s="92"/>
      <c r="G65" s="177"/>
      <c r="H65" s="291"/>
      <c r="I65" s="178" t="str">
        <f t="shared" si="0"/>
        <v xml:space="preserve">Cost </v>
      </c>
      <c r="J65" s="187" t="s">
        <v>84</v>
      </c>
    </row>
    <row r="66" spans="1:11">
      <c r="A66" s="69" t="str">
        <f>D21</f>
        <v xml:space="preserve">  costs may be below industry standards.**</v>
      </c>
      <c r="B66" s="92" t="s">
        <v>84</v>
      </c>
      <c r="C66" s="91" t="s">
        <v>127</v>
      </c>
      <c r="D66" s="66" t="s">
        <v>128</v>
      </c>
      <c r="E66" s="92" t="s">
        <v>129</v>
      </c>
      <c r="G66" s="177"/>
      <c r="H66" s="291"/>
      <c r="I66" s="178" t="str">
        <f t="shared" si="0"/>
        <v>Per KW</v>
      </c>
      <c r="J66" s="187" t="s">
        <v>247</v>
      </c>
    </row>
    <row r="67" spans="1:11">
      <c r="A67" s="89" t="s">
        <v>162</v>
      </c>
      <c r="B67" s="92"/>
      <c r="C67" s="91"/>
      <c r="D67" s="66"/>
      <c r="E67" s="92"/>
      <c r="G67" s="177"/>
      <c r="H67" s="291"/>
      <c r="I67" s="178">
        <f t="shared" si="0"/>
        <v>0</v>
      </c>
      <c r="J67" s="177"/>
    </row>
    <row r="68" spans="1:11">
      <c r="A68" s="117" t="s">
        <v>163</v>
      </c>
      <c r="B68" s="105" t="s">
        <v>244</v>
      </c>
      <c r="C68" s="91"/>
      <c r="D68" s="66"/>
      <c r="E68" s="92"/>
      <c r="G68" s="177"/>
      <c r="H68" s="291"/>
      <c r="I68" s="178">
        <f t="shared" si="0"/>
        <v>0</v>
      </c>
      <c r="J68" s="177"/>
    </row>
    <row r="69" spans="1:11">
      <c r="A69" s="67" t="s">
        <v>164</v>
      </c>
      <c r="B69" s="99">
        <v>274850.63111116184</v>
      </c>
      <c r="C69" s="337">
        <v>2.7485063111116186</v>
      </c>
      <c r="D69" s="103">
        <v>0.13865499974428286</v>
      </c>
      <c r="E69" s="100">
        <v>1</v>
      </c>
      <c r="F69" s="290">
        <f>C69</f>
        <v>2.7485063111116186</v>
      </c>
      <c r="G69" s="177" t="s">
        <v>236</v>
      </c>
      <c r="I69" s="178">
        <f t="shared" si="0"/>
        <v>2.7485063111116186</v>
      </c>
      <c r="J69" s="177">
        <f t="shared" ref="J69:J83" si="3">C69*$B$18</f>
        <v>5497.0126222232375</v>
      </c>
    </row>
    <row r="70" spans="1:11">
      <c r="A70" s="67" t="s">
        <v>165</v>
      </c>
      <c r="B70" s="99">
        <v>43976.100977785893</v>
      </c>
      <c r="C70" s="338">
        <v>0.43976100977785892</v>
      </c>
      <c r="D70" s="103">
        <v>2.2184799959085254E-2</v>
      </c>
      <c r="E70" s="100">
        <v>1</v>
      </c>
      <c r="F70" s="306">
        <f>SUM(C70,C71)</f>
        <v>1.5391635342225061</v>
      </c>
      <c r="G70" s="177" t="s">
        <v>237</v>
      </c>
      <c r="I70" s="178">
        <f t="shared" si="0"/>
        <v>0.43976100977785892</v>
      </c>
      <c r="J70" s="177">
        <f t="shared" si="3"/>
        <v>879.52201955571786</v>
      </c>
    </row>
    <row r="71" spans="1:11">
      <c r="A71" s="67" t="s">
        <v>166</v>
      </c>
      <c r="B71" s="99">
        <v>109940.25244446473</v>
      </c>
      <c r="C71" s="338">
        <v>1.0994025244446473</v>
      </c>
      <c r="D71" s="103">
        <v>5.5461999897713138E-2</v>
      </c>
      <c r="E71" s="100">
        <v>1</v>
      </c>
      <c r="F71" s="38">
        <f>C83-F70-F75</f>
        <v>14.868479854481615</v>
      </c>
      <c r="G71" s="177"/>
      <c r="H71" s="256">
        <f>C83-H72</f>
        <v>17.937305085254355</v>
      </c>
      <c r="I71" s="178">
        <f t="shared" si="0"/>
        <v>1.0994025244446473</v>
      </c>
      <c r="J71" s="177">
        <f t="shared" si="3"/>
        <v>2198.8050488892945</v>
      </c>
    </row>
    <row r="72" spans="1:11">
      <c r="A72" s="101" t="s">
        <v>167</v>
      </c>
      <c r="B72" s="182">
        <v>428766.98453341244</v>
      </c>
      <c r="C72" s="118">
        <v>4.2876698453341247</v>
      </c>
      <c r="D72" s="103">
        <v>0.21630179960108126</v>
      </c>
      <c r="E72" s="97"/>
      <c r="F72" s="38"/>
      <c r="G72" s="177"/>
      <c r="H72" s="256">
        <f>H77+F70</f>
        <v>1.8853216947435094</v>
      </c>
      <c r="I72" s="178">
        <f t="shared" si="0"/>
        <v>4.2876698453341247</v>
      </c>
      <c r="J72" s="177">
        <f t="shared" si="3"/>
        <v>8575.3396906682501</v>
      </c>
    </row>
    <row r="73" spans="1:11">
      <c r="A73" s="113" t="s">
        <v>168</v>
      </c>
      <c r="B73" s="182"/>
      <c r="C73" s="61"/>
      <c r="D73" s="67"/>
      <c r="E73" s="97"/>
      <c r="G73" s="177"/>
      <c r="I73" s="178">
        <f t="shared" si="0"/>
        <v>0</v>
      </c>
      <c r="J73" s="177"/>
    </row>
    <row r="74" spans="1:11">
      <c r="A74" s="67" t="s">
        <v>169</v>
      </c>
      <c r="B74" s="99">
        <v>44379.251348846585</v>
      </c>
      <c r="C74" s="339">
        <v>0.44379251348846582</v>
      </c>
      <c r="D74" s="103">
        <v>2.2388178842991546E-2</v>
      </c>
      <c r="E74" s="100">
        <v>1</v>
      </c>
      <c r="F74" s="296">
        <f>SUM(C74,C75,C80,C81)</f>
        <v>11.600736302588494</v>
      </c>
      <c r="G74" s="297" t="s">
        <v>235</v>
      </c>
      <c r="H74" s="298"/>
      <c r="I74" s="178">
        <f t="shared" si="0"/>
        <v>0.44379251348846582</v>
      </c>
      <c r="J74" s="177">
        <f t="shared" si="3"/>
        <v>887.58502697693166</v>
      </c>
    </row>
    <row r="75" spans="1:11">
      <c r="A75" s="119" t="s">
        <v>170</v>
      </c>
      <c r="B75" s="99">
        <v>17307.908026050165</v>
      </c>
      <c r="C75" s="339">
        <v>0.17307908026050164</v>
      </c>
      <c r="D75" s="103">
        <v>8.7313897487667005E-3</v>
      </c>
      <c r="E75" s="100">
        <v>0.8</v>
      </c>
      <c r="F75" s="299">
        <f>SUM(C76,C78)</f>
        <v>3.414983391293744</v>
      </c>
      <c r="G75" s="37" t="s">
        <v>313</v>
      </c>
      <c r="H75" s="298"/>
      <c r="I75" s="178">
        <f t="shared" si="0"/>
        <v>0.17307908026050164</v>
      </c>
      <c r="J75" s="177">
        <f t="shared" si="3"/>
        <v>346.15816052100331</v>
      </c>
    </row>
    <row r="76" spans="1:11">
      <c r="A76" s="120" t="s">
        <v>171</v>
      </c>
      <c r="B76" s="99">
        <v>8653.9540130250825</v>
      </c>
      <c r="C76" s="289">
        <v>8.6539540130250822E-2</v>
      </c>
      <c r="D76" s="103">
        <v>4.3656948743833503E-3</v>
      </c>
      <c r="E76" s="100">
        <v>1</v>
      </c>
      <c r="F76" s="37"/>
      <c r="G76" s="37" t="s">
        <v>312</v>
      </c>
      <c r="H76" s="296">
        <f>C79</f>
        <v>0.17307908026050201</v>
      </c>
      <c r="I76" s="178">
        <f t="shared" si="0"/>
        <v>8.6539540130250822E-2</v>
      </c>
      <c r="J76" s="177">
        <f t="shared" si="3"/>
        <v>173.07908026050166</v>
      </c>
    </row>
    <row r="77" spans="1:11">
      <c r="A77" s="121" t="s">
        <v>172</v>
      </c>
      <c r="B77" s="99">
        <v>34615.81605210033</v>
      </c>
      <c r="C77" s="338">
        <v>0.34615816052100329</v>
      </c>
      <c r="D77" s="103">
        <v>1.7462779497533401E-2</v>
      </c>
      <c r="E77" s="100">
        <v>1</v>
      </c>
      <c r="F77" s="37"/>
      <c r="G77" s="298" t="s">
        <v>305</v>
      </c>
      <c r="H77" s="300">
        <f>C77</f>
        <v>0.34615816052100329</v>
      </c>
      <c r="I77" s="178">
        <f t="shared" si="0"/>
        <v>0.34615816052100329</v>
      </c>
      <c r="J77" s="177">
        <f t="shared" si="3"/>
        <v>692.31632104200662</v>
      </c>
      <c r="K77" t="s">
        <v>446</v>
      </c>
    </row>
    <row r="78" spans="1:11">
      <c r="A78" s="120" t="s">
        <v>173</v>
      </c>
      <c r="B78" s="99">
        <v>332844.38511634932</v>
      </c>
      <c r="C78" s="289">
        <v>3.3284438511634931</v>
      </c>
      <c r="D78" s="103">
        <v>0.16791134132243657</v>
      </c>
      <c r="E78" s="100">
        <v>0</v>
      </c>
      <c r="F78" s="38"/>
      <c r="I78" s="178">
        <f t="shared" si="0"/>
        <v>3.3284438511634931</v>
      </c>
      <c r="J78" s="177">
        <f t="shared" si="3"/>
        <v>6656.8877023269861</v>
      </c>
      <c r="K78">
        <f>J78/J62</f>
        <v>1.6376913795556032E-3</v>
      </c>
    </row>
    <row r="79" spans="1:11">
      <c r="A79" s="121" t="s">
        <v>174</v>
      </c>
      <c r="B79" s="99">
        <v>17307.908026050165</v>
      </c>
      <c r="C79" s="339">
        <v>0.17307908026050201</v>
      </c>
      <c r="D79" s="103">
        <v>8.7313897487667005E-3</v>
      </c>
      <c r="E79" s="100">
        <v>1</v>
      </c>
      <c r="G79" s="177"/>
      <c r="H79" s="291"/>
      <c r="I79" s="178">
        <f t="shared" si="0"/>
        <v>0.17307908026050201</v>
      </c>
      <c r="J79" s="177">
        <f t="shared" si="3"/>
        <v>346.15816052100399</v>
      </c>
    </row>
    <row r="80" spans="1:11">
      <c r="A80" s="119" t="s">
        <v>175</v>
      </c>
      <c r="B80" s="99">
        <v>112501.40216932609</v>
      </c>
      <c r="C80" s="339">
        <v>1.1250140216932609</v>
      </c>
      <c r="D80" s="103">
        <v>5.6754033366983564E-2</v>
      </c>
      <c r="E80" s="100">
        <v>1</v>
      </c>
      <c r="I80" s="178">
        <f t="shared" si="0"/>
        <v>1.1250140216932609</v>
      </c>
      <c r="J80" s="177">
        <f t="shared" si="3"/>
        <v>2250.0280433865219</v>
      </c>
    </row>
    <row r="81" spans="1:10">
      <c r="A81" s="119" t="s">
        <v>176</v>
      </c>
      <c r="B81" s="99">
        <v>985885.0687146266</v>
      </c>
      <c r="C81" s="339">
        <v>9.8588506871462656</v>
      </c>
      <c r="D81" s="103">
        <v>0.49735339299705705</v>
      </c>
      <c r="E81" s="100">
        <v>0.02</v>
      </c>
      <c r="G81" s="177"/>
      <c r="H81" s="291"/>
      <c r="I81" s="178">
        <f t="shared" si="0"/>
        <v>9.8588506871462656</v>
      </c>
      <c r="J81" s="177">
        <f t="shared" si="3"/>
        <v>19717.70137429253</v>
      </c>
    </row>
    <row r="82" spans="1:10">
      <c r="A82" s="122" t="s">
        <v>177</v>
      </c>
      <c r="B82" s="94">
        <v>1553495.6934663742</v>
      </c>
      <c r="C82" s="118">
        <v>15.534956934663741</v>
      </c>
      <c r="D82" s="103">
        <v>0.78369820039891891</v>
      </c>
      <c r="E82" s="114"/>
      <c r="G82" s="177"/>
      <c r="H82" s="291"/>
      <c r="I82" s="178">
        <f t="shared" si="0"/>
        <v>15.534956934663741</v>
      </c>
      <c r="J82" s="177">
        <f t="shared" si="3"/>
        <v>31069.913869327484</v>
      </c>
    </row>
    <row r="83" spans="1:10">
      <c r="A83" s="66" t="s">
        <v>178</v>
      </c>
      <c r="B83" s="94">
        <v>1982262.6779997866</v>
      </c>
      <c r="C83" s="118">
        <v>19.822626779997865</v>
      </c>
      <c r="D83" s="103">
        <v>1.0000000000000002</v>
      </c>
      <c r="E83" s="67"/>
      <c r="H83" s="291"/>
      <c r="I83" s="178">
        <f t="shared" si="0"/>
        <v>19.822626779997865</v>
      </c>
      <c r="J83" s="177">
        <f t="shared" si="3"/>
        <v>39645.253559995734</v>
      </c>
    </row>
    <row r="84" spans="1:10">
      <c r="A84" s="66"/>
      <c r="B84" s="123"/>
      <c r="C84" s="118"/>
      <c r="D84" s="67"/>
      <c r="E84" s="67"/>
      <c r="F84" s="306">
        <v>0</v>
      </c>
      <c r="G84" s="305" t="s">
        <v>663</v>
      </c>
      <c r="H84" s="291"/>
      <c r="I84" s="178"/>
      <c r="J84" s="177"/>
    </row>
    <row r="85" spans="1:10" ht="15.75">
      <c r="A85" s="124" t="s">
        <v>179</v>
      </c>
      <c r="B85" s="67"/>
      <c r="C85" s="114"/>
      <c r="D85" s="114"/>
      <c r="E85" s="114"/>
      <c r="F85" s="305"/>
      <c r="I85" s="178"/>
      <c r="J85" s="177"/>
    </row>
    <row r="86" spans="1:10">
      <c r="A86" s="72" t="s">
        <v>180</v>
      </c>
      <c r="B86" s="67"/>
      <c r="C86" s="114"/>
      <c r="D86" s="67"/>
      <c r="E86" s="92" t="s">
        <v>129</v>
      </c>
      <c r="G86" s="177"/>
      <c r="H86" s="291"/>
      <c r="I86" s="178"/>
      <c r="J86" s="177"/>
    </row>
    <row r="87" spans="1:10">
      <c r="A87" s="72" t="s">
        <v>181</v>
      </c>
      <c r="B87" s="67"/>
      <c r="C87" s="114"/>
      <c r="D87" s="67"/>
      <c r="E87" s="67"/>
      <c r="G87" s="177"/>
      <c r="H87" s="291"/>
      <c r="I87" s="178">
        <f t="shared" si="0"/>
        <v>0</v>
      </c>
      <c r="J87" s="177"/>
    </row>
    <row r="88" spans="1:10">
      <c r="A88" s="125" t="s">
        <v>182</v>
      </c>
      <c r="B88" s="100">
        <v>0.8</v>
      </c>
      <c r="C88" s="114"/>
      <c r="D88" s="67"/>
      <c r="E88" s="100">
        <v>0</v>
      </c>
      <c r="F88" s="184">
        <f>SUM(F103,H77,F70,F69,F74,F75,F37,F61,)</f>
        <v>2066.0354813592071</v>
      </c>
      <c r="G88" s="177" t="s">
        <v>308</v>
      </c>
      <c r="H88" s="291"/>
      <c r="I88" s="178">
        <f t="shared" si="0"/>
        <v>0</v>
      </c>
      <c r="J88" s="177"/>
    </row>
    <row r="89" spans="1:10">
      <c r="A89" s="125" t="s">
        <v>183</v>
      </c>
      <c r="B89" s="126">
        <v>10</v>
      </c>
      <c r="C89" s="114"/>
      <c r="D89" s="67"/>
      <c r="E89" s="127"/>
      <c r="G89" s="177"/>
      <c r="H89" s="291"/>
      <c r="I89" s="178">
        <f t="shared" si="0"/>
        <v>0</v>
      </c>
      <c r="J89" s="177"/>
    </row>
    <row r="90" spans="1:10">
      <c r="A90" s="125" t="s">
        <v>184</v>
      </c>
      <c r="B90" s="100">
        <v>0.1</v>
      </c>
      <c r="C90" s="114"/>
      <c r="D90" s="67"/>
      <c r="E90" s="127"/>
      <c r="G90" s="177"/>
      <c r="H90" s="291"/>
      <c r="I90" s="178">
        <f t="shared" si="0"/>
        <v>0</v>
      </c>
      <c r="J90" s="177"/>
    </row>
    <row r="91" spans="1:10">
      <c r="A91" s="66" t="s">
        <v>185</v>
      </c>
      <c r="B91" s="92"/>
      <c r="C91" s="114"/>
      <c r="D91" s="67"/>
      <c r="E91" s="93"/>
      <c r="G91" s="177"/>
      <c r="H91" s="291"/>
      <c r="I91" s="178">
        <f t="shared" si="0"/>
        <v>0</v>
      </c>
      <c r="J91" s="177"/>
    </row>
    <row r="92" spans="1:10">
      <c r="A92" s="128" t="s">
        <v>186</v>
      </c>
      <c r="B92" s="129">
        <v>0.19999999999999996</v>
      </c>
      <c r="C92" s="114"/>
      <c r="D92" s="67"/>
      <c r="E92" s="93"/>
      <c r="G92" s="177"/>
      <c r="H92" s="291"/>
      <c r="I92" s="178">
        <f t="shared" si="0"/>
        <v>0</v>
      </c>
      <c r="J92" s="177"/>
    </row>
    <row r="93" spans="1:10">
      <c r="A93" s="128" t="s">
        <v>187</v>
      </c>
      <c r="B93" s="130">
        <v>0</v>
      </c>
      <c r="C93" s="114"/>
      <c r="D93" s="67"/>
      <c r="E93" s="100">
        <v>1</v>
      </c>
      <c r="G93" s="177"/>
      <c r="H93" s="291"/>
      <c r="I93" s="178">
        <f t="shared" si="0"/>
        <v>0</v>
      </c>
      <c r="J93" s="177"/>
    </row>
    <row r="94" spans="1:10">
      <c r="A94" s="128" t="s">
        <v>188</v>
      </c>
      <c r="B94" s="131">
        <v>1</v>
      </c>
      <c r="C94" s="114"/>
      <c r="D94" s="67"/>
      <c r="E94" s="100">
        <v>0</v>
      </c>
      <c r="G94" s="177"/>
      <c r="H94" s="291"/>
      <c r="I94" s="178">
        <f t="shared" si="0"/>
        <v>0</v>
      </c>
      <c r="J94" s="177"/>
    </row>
    <row r="95" spans="1:10">
      <c r="A95" s="128" t="s">
        <v>189</v>
      </c>
      <c r="B95" s="130">
        <v>0.16</v>
      </c>
      <c r="C95" s="114"/>
      <c r="D95" s="67"/>
      <c r="E95" s="127"/>
      <c r="G95" s="177"/>
      <c r="H95" s="291"/>
      <c r="I95" s="178">
        <f t="shared" si="0"/>
        <v>0</v>
      </c>
      <c r="J95" s="177"/>
    </row>
    <row r="96" spans="1:10">
      <c r="A96" s="128" t="s">
        <v>190</v>
      </c>
      <c r="B96" s="132">
        <v>10</v>
      </c>
      <c r="C96" s="114"/>
      <c r="D96" s="67"/>
      <c r="E96" s="127"/>
      <c r="G96" s="177"/>
      <c r="H96" s="291"/>
      <c r="I96" s="178">
        <f t="shared" si="0"/>
        <v>0</v>
      </c>
      <c r="J96" s="177"/>
    </row>
    <row r="97" spans="1:11">
      <c r="A97" s="72" t="s">
        <v>191</v>
      </c>
      <c r="B97" s="114"/>
      <c r="C97" s="114"/>
      <c r="D97" s="67"/>
      <c r="E97" s="115"/>
      <c r="G97" s="177"/>
      <c r="H97" s="291"/>
      <c r="I97" s="178">
        <f t="shared" si="0"/>
        <v>0</v>
      </c>
      <c r="J97" s="177"/>
    </row>
    <row r="98" spans="1:11">
      <c r="A98" s="133" t="s">
        <v>192</v>
      </c>
      <c r="B98" s="130" t="s">
        <v>245</v>
      </c>
      <c r="C98" s="134"/>
      <c r="D98" s="67"/>
      <c r="E98" s="127"/>
      <c r="G98" s="177"/>
      <c r="H98" s="291"/>
      <c r="I98" s="178">
        <f>C98</f>
        <v>0</v>
      </c>
      <c r="J98" s="177"/>
    </row>
    <row r="99" spans="1:11">
      <c r="A99" s="133" t="s">
        <v>193</v>
      </c>
      <c r="B99" s="130" t="s">
        <v>245</v>
      </c>
      <c r="C99" s="114"/>
      <c r="D99" s="67"/>
      <c r="E99" s="127"/>
      <c r="G99" s="177"/>
      <c r="H99" s="291"/>
      <c r="I99" s="178">
        <f>C99</f>
        <v>0</v>
      </c>
      <c r="J99" s="177"/>
    </row>
    <row r="100" spans="1:11">
      <c r="A100" s="135" t="s">
        <v>194</v>
      </c>
      <c r="B100" s="130" t="s">
        <v>245</v>
      </c>
      <c r="C100" s="114"/>
      <c r="D100" s="67"/>
      <c r="E100" s="127"/>
      <c r="G100" s="177"/>
      <c r="H100" s="291"/>
      <c r="I100" s="178">
        <f>C100</f>
        <v>0</v>
      </c>
      <c r="J100" s="177"/>
    </row>
    <row r="101" spans="1:11">
      <c r="A101" s="135" t="s">
        <v>195</v>
      </c>
      <c r="B101" s="136" t="s">
        <v>245</v>
      </c>
      <c r="C101" s="137"/>
      <c r="D101" s="67"/>
      <c r="E101" s="127"/>
      <c r="G101" s="177"/>
      <c r="H101" s="291"/>
      <c r="I101" s="178">
        <f>C101</f>
        <v>0</v>
      </c>
      <c r="J101" s="177"/>
      <c r="K101" t="s">
        <v>445</v>
      </c>
    </row>
    <row r="102" spans="1:11">
      <c r="A102" s="138" t="s">
        <v>196</v>
      </c>
      <c r="B102" s="136">
        <v>10986</v>
      </c>
      <c r="C102" s="74" t="s">
        <v>244</v>
      </c>
      <c r="D102" s="67"/>
      <c r="E102" s="127"/>
      <c r="G102" s="177"/>
      <c r="H102" s="291"/>
      <c r="I102" s="354">
        <f>B102/1000</f>
        <v>10.986000000000001</v>
      </c>
      <c r="J102" s="177">
        <f>B102*_KWturb/1000</f>
        <v>21972</v>
      </c>
      <c r="K102">
        <f>J102/J62</f>
        <v>5.4054321780157635E-3</v>
      </c>
    </row>
    <row r="103" spans="1:11">
      <c r="A103" s="133" t="s">
        <v>197</v>
      </c>
      <c r="B103" s="171">
        <v>1098600</v>
      </c>
      <c r="C103" s="94"/>
      <c r="D103" s="67"/>
      <c r="E103" s="100">
        <v>1</v>
      </c>
      <c r="F103" s="175">
        <f>I103+I105</f>
        <v>13.986000000000001</v>
      </c>
      <c r="G103" s="177" t="s">
        <v>309</v>
      </c>
      <c r="H103" s="291"/>
      <c r="I103" s="289">
        <f>B103/_kW</f>
        <v>10.986000000000001</v>
      </c>
      <c r="K103" t="s">
        <v>640</v>
      </c>
    </row>
    <row r="104" spans="1:11">
      <c r="A104" s="72" t="s">
        <v>198</v>
      </c>
      <c r="B104" s="67"/>
      <c r="C104" s="114"/>
      <c r="D104" s="67"/>
      <c r="E104" s="79"/>
      <c r="G104" s="177"/>
      <c r="H104" s="291"/>
      <c r="I104" s="178"/>
    </row>
    <row r="105" spans="1:11">
      <c r="A105" s="139" t="s">
        <v>199</v>
      </c>
      <c r="B105" s="171">
        <v>6000</v>
      </c>
      <c r="C105" s="114"/>
      <c r="D105" s="67"/>
      <c r="E105" s="127"/>
      <c r="F105" s="38">
        <f>F103+C83</f>
        <v>33.808626779997866</v>
      </c>
      <c r="G105" s="177"/>
      <c r="H105" s="291"/>
      <c r="I105" s="289">
        <f>B105/_KWturb</f>
        <v>3</v>
      </c>
      <c r="K105" t="s">
        <v>640</v>
      </c>
    </row>
    <row r="106" spans="1:11">
      <c r="A106" s="140" t="s">
        <v>116</v>
      </c>
      <c r="B106" s="141">
        <v>50</v>
      </c>
      <c r="C106" s="114"/>
      <c r="D106" s="67"/>
      <c r="E106" s="127"/>
      <c r="G106" s="177"/>
      <c r="H106" s="291"/>
      <c r="I106" s="178"/>
    </row>
    <row r="107" spans="1:11">
      <c r="A107" s="133" t="s">
        <v>200</v>
      </c>
      <c r="B107" s="136">
        <v>300000</v>
      </c>
      <c r="C107" s="114"/>
      <c r="D107" s="67"/>
      <c r="E107" s="127"/>
      <c r="G107" s="177"/>
      <c r="H107" s="291"/>
      <c r="I107" s="178"/>
    </row>
    <row r="108" spans="1:11">
      <c r="A108" s="135" t="s">
        <v>201</v>
      </c>
      <c r="B108" s="136" t="s">
        <v>246</v>
      </c>
      <c r="C108" s="67"/>
      <c r="D108" s="67"/>
      <c r="E108" s="100">
        <v>1</v>
      </c>
      <c r="G108" s="177"/>
      <c r="H108" s="291"/>
      <c r="I108" s="178">
        <f t="shared" ref="I108:I122" si="4">C108</f>
        <v>0</v>
      </c>
    </row>
    <row r="109" spans="1:11">
      <c r="A109" s="78" t="s">
        <v>202</v>
      </c>
      <c r="B109" s="142" t="s">
        <v>244</v>
      </c>
      <c r="C109" s="67"/>
      <c r="D109" s="67"/>
      <c r="E109" s="143"/>
      <c r="G109" s="177"/>
      <c r="H109" s="291"/>
      <c r="I109" s="178">
        <f t="shared" si="4"/>
        <v>0</v>
      </c>
    </row>
    <row r="110" spans="1:11">
      <c r="A110" s="78" t="s">
        <v>203</v>
      </c>
      <c r="B110" s="144" t="s">
        <v>204</v>
      </c>
      <c r="C110" s="67"/>
      <c r="D110" s="92" t="s">
        <v>205</v>
      </c>
      <c r="E110" s="143"/>
      <c r="G110" s="177"/>
      <c r="H110" s="291"/>
      <c r="I110" s="178">
        <f t="shared" si="4"/>
        <v>0</v>
      </c>
    </row>
    <row r="111" spans="1:11">
      <c r="A111" s="101" t="s">
        <v>206</v>
      </c>
      <c r="B111" s="145">
        <v>17.592240526487661</v>
      </c>
      <c r="C111" s="67"/>
      <c r="D111" s="146">
        <v>0.37606110248282032</v>
      </c>
      <c r="E111" s="105" t="s">
        <v>244</v>
      </c>
      <c r="G111" s="177"/>
      <c r="H111" s="291"/>
      <c r="I111" s="178">
        <f t="shared" si="4"/>
        <v>0</v>
      </c>
    </row>
    <row r="112" spans="1:11">
      <c r="A112" s="101" t="s">
        <v>207</v>
      </c>
      <c r="B112" s="145">
        <v>19.925709111605837</v>
      </c>
      <c r="C112" s="67"/>
      <c r="D112" s="146">
        <v>0.37606110248282032</v>
      </c>
      <c r="E112" s="143"/>
      <c r="G112" s="177"/>
      <c r="H112" s="291"/>
      <c r="I112" s="178">
        <f t="shared" si="4"/>
        <v>0</v>
      </c>
    </row>
    <row r="113" spans="1:9">
      <c r="A113" s="101" t="s">
        <v>208</v>
      </c>
      <c r="B113" s="145">
        <v>26.397963541110578</v>
      </c>
      <c r="C113" s="67"/>
      <c r="D113" s="146">
        <v>0.37606110248282032</v>
      </c>
      <c r="E113" s="143"/>
      <c r="G113" s="177"/>
      <c r="H113" s="291"/>
      <c r="I113" s="178">
        <f t="shared" si="4"/>
        <v>0</v>
      </c>
    </row>
    <row r="114" spans="1:9">
      <c r="A114" s="101" t="s">
        <v>209</v>
      </c>
      <c r="B114" s="145">
        <v>35.885481903648682</v>
      </c>
      <c r="C114" s="67"/>
      <c r="D114" s="146">
        <v>0.37606110248282032</v>
      </c>
      <c r="E114" s="143"/>
      <c r="G114" s="177"/>
      <c r="H114" s="291"/>
      <c r="I114" s="178">
        <f t="shared" si="4"/>
        <v>0</v>
      </c>
    </row>
    <row r="115" spans="1:9">
      <c r="A115" s="78" t="s">
        <v>210</v>
      </c>
      <c r="B115" s="144" t="s">
        <v>204</v>
      </c>
      <c r="C115" s="67"/>
      <c r="D115" s="92" t="s">
        <v>205</v>
      </c>
      <c r="E115" s="143"/>
      <c r="G115" s="177"/>
      <c r="H115" s="291"/>
      <c r="I115" s="178">
        <f t="shared" si="4"/>
        <v>0</v>
      </c>
    </row>
    <row r="116" spans="1:9">
      <c r="A116" s="98" t="s">
        <v>211</v>
      </c>
      <c r="B116" s="145">
        <v>24.006878447717877</v>
      </c>
      <c r="C116" s="72"/>
      <c r="D116" s="146">
        <v>0.37606110248282032</v>
      </c>
      <c r="E116" s="105" t="s">
        <v>244</v>
      </c>
      <c r="G116" s="177"/>
      <c r="H116" s="291"/>
      <c r="I116" s="178">
        <f t="shared" si="4"/>
        <v>0</v>
      </c>
    </row>
    <row r="117" spans="1:9">
      <c r="A117" s="101" t="s">
        <v>165</v>
      </c>
      <c r="B117" s="145">
        <v>15.364402206539442</v>
      </c>
      <c r="C117" s="94"/>
      <c r="D117" s="146">
        <v>0.37606110248282032</v>
      </c>
      <c r="E117" s="114"/>
      <c r="G117" s="177"/>
      <c r="H117" s="291"/>
      <c r="I117" s="178">
        <f t="shared" si="4"/>
        <v>0</v>
      </c>
    </row>
    <row r="118" spans="1:9">
      <c r="A118" s="101" t="s">
        <v>209</v>
      </c>
      <c r="B118" s="145">
        <v>38.411005516348602</v>
      </c>
      <c r="C118" s="94"/>
      <c r="D118" s="146">
        <v>0.37606110248282032</v>
      </c>
      <c r="E118" s="114"/>
      <c r="G118" s="177"/>
      <c r="H118" s="291"/>
      <c r="I118" s="178">
        <f t="shared" si="4"/>
        <v>0</v>
      </c>
    </row>
    <row r="119" spans="1:9">
      <c r="A119" s="101"/>
      <c r="B119" s="105" t="str">
        <f>IF([3]DefaultData!$N111=[3]DefaultData!D111,"","Do not change O&amp;M 'Wage per hour' without changing O&amp;M 'Labor Personnel Costs' above. " )</f>
        <v/>
      </c>
      <c r="C119" s="94"/>
      <c r="D119" s="67"/>
      <c r="E119" s="114"/>
      <c r="G119" s="177"/>
      <c r="H119" s="291"/>
      <c r="I119" s="178">
        <f t="shared" si="4"/>
        <v>0</v>
      </c>
    </row>
    <row r="120" spans="1:9">
      <c r="A120" s="135"/>
      <c r="B120" s="67"/>
      <c r="C120" s="67"/>
      <c r="D120" s="105" t="str">
        <f>IF([3]DefaultData!N$111=[3]DefaultData!D$111,"","  See comment - point cursor to red triangle in cell corner" )</f>
        <v/>
      </c>
      <c r="E120" s="114"/>
      <c r="G120" s="177"/>
      <c r="H120" s="291"/>
      <c r="I120" s="178">
        <f t="shared" si="4"/>
        <v>0</v>
      </c>
    </row>
    <row r="121" spans="1:9">
      <c r="A121" s="135"/>
      <c r="B121" s="135"/>
      <c r="C121" s="67"/>
      <c r="D121" s="147"/>
      <c r="E121" s="114"/>
      <c r="G121" s="177"/>
      <c r="H121" s="291"/>
      <c r="I121" s="178">
        <f t="shared" si="4"/>
        <v>0</v>
      </c>
    </row>
    <row r="122" spans="1:9">
      <c r="A122" s="135"/>
      <c r="B122" s="135"/>
      <c r="C122" s="67"/>
      <c r="D122" s="135"/>
      <c r="E122" s="114"/>
      <c r="G122" s="177"/>
      <c r="H122" s="291"/>
      <c r="I122" s="178">
        <f t="shared" si="4"/>
        <v>0</v>
      </c>
    </row>
  </sheetData>
  <mergeCells count="2">
    <mergeCell ref="A24:A26"/>
    <mergeCell ref="A27:E27"/>
  </mergeCells>
  <phoneticPr fontId="45"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Y97"/>
  <sheetViews>
    <sheetView zoomScale="85" zoomScaleNormal="85" workbookViewId="0">
      <pane xSplit="1" ySplit="12" topLeftCell="B28" activePane="bottomRight" state="frozen"/>
      <selection pane="topRight" activeCell="B1" sqref="B1"/>
      <selection pane="bottomLeft" activeCell="A12" sqref="A12"/>
      <selection pane="bottomRight" activeCell="W41" sqref="W41"/>
    </sheetView>
  </sheetViews>
  <sheetFormatPr defaultRowHeight="15"/>
  <cols>
    <col min="1" max="1" width="34" customWidth="1"/>
    <col min="2" max="2" width="10.85546875" bestFit="1" customWidth="1"/>
    <col min="3" max="3" width="17.42578125" customWidth="1"/>
    <col min="4" max="4" width="12.85546875" customWidth="1"/>
    <col min="5" max="5" width="10.28515625" customWidth="1"/>
    <col min="6" max="6" width="9.5703125" customWidth="1"/>
    <col min="7" max="7" width="11.5703125" customWidth="1"/>
    <col min="8" max="23" width="9.5703125" customWidth="1"/>
  </cols>
  <sheetData>
    <row r="1" spans="1:25" ht="63" customHeight="1">
      <c r="A1" s="11" t="s">
        <v>532</v>
      </c>
      <c r="B1" s="11"/>
      <c r="C1" s="11"/>
      <c r="D1" s="440" t="s">
        <v>533</v>
      </c>
      <c r="E1" s="440" t="s">
        <v>583</v>
      </c>
      <c r="F1" s="436" t="s">
        <v>664</v>
      </c>
      <c r="G1" s="436" t="s">
        <v>589</v>
      </c>
      <c r="H1" s="11"/>
      <c r="I1" s="440" t="s">
        <v>641</v>
      </c>
      <c r="J1" s="11"/>
      <c r="K1" s="11"/>
      <c r="L1" s="11"/>
      <c r="M1" s="11"/>
      <c r="N1" s="11"/>
      <c r="O1" s="11"/>
      <c r="P1" s="11"/>
      <c r="Q1" s="11"/>
      <c r="R1" s="11"/>
      <c r="S1" s="11"/>
      <c r="T1" s="11"/>
      <c r="U1" s="11"/>
      <c r="V1" s="11"/>
      <c r="W1" s="11"/>
    </row>
    <row r="2" spans="1:25" ht="16.5" customHeight="1">
      <c r="A2" s="11"/>
      <c r="B2" s="11"/>
      <c r="C2" s="11" t="s">
        <v>92</v>
      </c>
      <c r="D2" s="450">
        <f>EconomicValueEnergy!I16/1000</f>
        <v>147.96035910176207</v>
      </c>
      <c r="E2" s="440"/>
      <c r="F2">
        <f>D2*1000/(NPV($E$3,$B$88:$U$88)/1000)</f>
        <v>2.289644721054843</v>
      </c>
      <c r="G2" s="436"/>
      <c r="H2" s="11"/>
      <c r="I2" s="516">
        <f>C17*1000/(B88/1000)</f>
        <v>69.045083422080239</v>
      </c>
      <c r="J2" t="s">
        <v>642</v>
      </c>
      <c r="R2" s="11"/>
      <c r="S2" s="11"/>
      <c r="T2" s="11"/>
      <c r="U2" s="11"/>
      <c r="V2" s="11"/>
      <c r="W2" s="11"/>
    </row>
    <row r="3" spans="1:25">
      <c r="A3" s="441" t="s">
        <v>534</v>
      </c>
      <c r="C3" s="442" t="s">
        <v>590</v>
      </c>
      <c r="D3" s="450">
        <f>7103.91223307432</f>
        <v>7103.9122330743203</v>
      </c>
      <c r="E3" s="443">
        <f>NREL_OnlineWindFinancing!B54/100</f>
        <v>0.06</v>
      </c>
      <c r="F3" s="520">
        <v>5.82</v>
      </c>
      <c r="G3" s="24">
        <f t="shared" ref="G3:G7" si="0">IRR(B91:U91)</f>
        <v>0.12333204569423416</v>
      </c>
      <c r="J3" s="443">
        <v>6.8000000000000005E-2</v>
      </c>
      <c r="K3" s="517" t="s">
        <v>643</v>
      </c>
      <c r="P3" s="518">
        <v>0.8</v>
      </c>
      <c r="Q3" t="s">
        <v>644</v>
      </c>
      <c r="X3" s="522">
        <v>0</v>
      </c>
      <c r="Y3" t="s">
        <v>657</v>
      </c>
    </row>
    <row r="4" spans="1:25">
      <c r="A4" s="444" t="s">
        <v>535</v>
      </c>
      <c r="C4" s="442" t="s">
        <v>591</v>
      </c>
      <c r="D4" s="450">
        <f>7632.53885376651</f>
        <v>7632.5388537665103</v>
      </c>
      <c r="E4" s="443"/>
      <c r="F4" s="520">
        <v>6.63</v>
      </c>
      <c r="G4" s="24">
        <f t="shared" si="0"/>
        <v>7.7654091508142328E-2</v>
      </c>
      <c r="J4" s="443">
        <v>0.06</v>
      </c>
      <c r="K4" s="517" t="s">
        <v>645</v>
      </c>
      <c r="P4">
        <v>0</v>
      </c>
      <c r="Q4" t="s">
        <v>646</v>
      </c>
      <c r="X4" s="522">
        <v>0</v>
      </c>
      <c r="Y4" t="s">
        <v>658</v>
      </c>
    </row>
    <row r="5" spans="1:25">
      <c r="A5" s="444"/>
      <c r="C5" s="442" t="s">
        <v>592</v>
      </c>
      <c r="D5" s="450">
        <f>7687.5261654187</f>
        <v>7687.5261654186997</v>
      </c>
      <c r="E5" s="443"/>
      <c r="F5" s="520">
        <v>6.71</v>
      </c>
      <c r="G5" s="24">
        <f t="shared" si="0"/>
        <v>7.3770763636448133E-2</v>
      </c>
      <c r="H5" s="442"/>
      <c r="J5" s="443">
        <v>0.06</v>
      </c>
      <c r="K5" s="517" t="s">
        <v>647</v>
      </c>
      <c r="P5">
        <v>7.45</v>
      </c>
      <c r="Q5" t="s">
        <v>648</v>
      </c>
    </row>
    <row r="6" spans="1:25">
      <c r="A6" s="444"/>
      <c r="C6" s="442" t="s">
        <v>665</v>
      </c>
      <c r="D6" s="450">
        <f>8180.75046290029</f>
        <v>8180.7504629002897</v>
      </c>
      <c r="E6" s="442"/>
      <c r="F6" s="520">
        <v>7.46</v>
      </c>
      <c r="G6" s="24" t="e">
        <f t="shared" si="0"/>
        <v>#NUM!</v>
      </c>
      <c r="H6" s="442"/>
      <c r="I6" s="442"/>
      <c r="J6" s="443">
        <v>0.01</v>
      </c>
      <c r="K6" s="517" t="s">
        <v>649</v>
      </c>
      <c r="P6">
        <v>5.7</v>
      </c>
      <c r="Q6" s="519" t="s">
        <v>650</v>
      </c>
    </row>
    <row r="7" spans="1:25">
      <c r="A7" s="444"/>
      <c r="C7" s="442" t="s">
        <v>660</v>
      </c>
      <c r="D7" s="450">
        <f>8389.54138220805</f>
        <v>8389.54138220805</v>
      </c>
      <c r="E7" s="442"/>
      <c r="F7" s="520">
        <v>7.77</v>
      </c>
      <c r="G7" s="24" t="e">
        <f t="shared" si="0"/>
        <v>#DIV/0!</v>
      </c>
      <c r="H7" s="442"/>
      <c r="I7" s="442"/>
      <c r="J7" s="518">
        <v>0.37</v>
      </c>
      <c r="K7" s="517" t="s">
        <v>651</v>
      </c>
      <c r="P7" s="520">
        <v>9.9</v>
      </c>
      <c r="Q7" s="519" t="s">
        <v>652</v>
      </c>
    </row>
    <row r="8" spans="1:25">
      <c r="A8" s="444"/>
      <c r="C8" s="442" t="s">
        <v>618</v>
      </c>
      <c r="D8" s="450">
        <f>8373.54001793942</f>
        <v>8373.5400179394201</v>
      </c>
      <c r="E8" s="442"/>
      <c r="F8" s="520">
        <v>9.9</v>
      </c>
      <c r="G8" s="24" t="e">
        <f>IRR(B96:U96)</f>
        <v>#DIV/0!</v>
      </c>
      <c r="H8" s="442"/>
      <c r="I8" s="442"/>
      <c r="J8" s="443">
        <v>0.06</v>
      </c>
      <c r="K8" s="517" t="s">
        <v>653</v>
      </c>
      <c r="P8">
        <v>7</v>
      </c>
      <c r="Q8" s="519" t="s">
        <v>654</v>
      </c>
    </row>
    <row r="9" spans="1:25">
      <c r="A9" s="444"/>
      <c r="C9" s="442" t="s">
        <v>619</v>
      </c>
      <c r="D9" s="531">
        <f>8325.1231387383</f>
        <v>8325.1231387382995</v>
      </c>
      <c r="E9" s="442"/>
      <c r="F9" s="520">
        <v>7.89</v>
      </c>
      <c r="G9" s="419"/>
      <c r="H9" s="442"/>
      <c r="J9" s="518">
        <v>0</v>
      </c>
      <c r="K9" s="517" t="s">
        <v>655</v>
      </c>
      <c r="O9" s="521">
        <f>NPV(E2,B57:V57)</f>
        <v>0</v>
      </c>
      <c r="P9">
        <v>-1</v>
      </c>
      <c r="Q9" s="519" t="s">
        <v>656</v>
      </c>
    </row>
    <row r="10" spans="1:25">
      <c r="C10" s="445"/>
      <c r="D10" s="450"/>
      <c r="G10" s="451">
        <f>IRR(B86:U86)</f>
        <v>0.16173934582606647</v>
      </c>
    </row>
    <row r="11" spans="1:25">
      <c r="A11" t="s">
        <v>536</v>
      </c>
      <c r="B11">
        <v>0</v>
      </c>
      <c r="C11">
        <v>1</v>
      </c>
      <c r="D11">
        <v>2</v>
      </c>
      <c r="E11">
        <v>3</v>
      </c>
      <c r="F11">
        <v>4</v>
      </c>
      <c r="G11">
        <v>5</v>
      </c>
      <c r="H11">
        <v>6</v>
      </c>
      <c r="I11">
        <v>7</v>
      </c>
      <c r="J11">
        <v>8</v>
      </c>
      <c r="K11">
        <v>9</v>
      </c>
      <c r="L11">
        <v>10</v>
      </c>
      <c r="M11">
        <v>11</v>
      </c>
      <c r="N11">
        <v>12</v>
      </c>
      <c r="O11">
        <v>13</v>
      </c>
      <c r="P11">
        <v>14</v>
      </c>
      <c r="Q11">
        <v>15</v>
      </c>
      <c r="R11">
        <v>16</v>
      </c>
      <c r="S11">
        <v>17</v>
      </c>
      <c r="T11">
        <v>18</v>
      </c>
      <c r="U11">
        <v>19</v>
      </c>
      <c r="V11">
        <v>20</v>
      </c>
    </row>
    <row r="12" spans="1:25">
      <c r="A12" t="s">
        <v>537</v>
      </c>
      <c r="B12">
        <v>2008</v>
      </c>
      <c r="C12">
        <v>2009</v>
      </c>
      <c r="D12">
        <v>2010</v>
      </c>
      <c r="E12">
        <v>2011</v>
      </c>
      <c r="F12">
        <v>2012</v>
      </c>
      <c r="G12">
        <v>2013</v>
      </c>
      <c r="H12">
        <v>2014</v>
      </c>
      <c r="I12">
        <v>2015</v>
      </c>
      <c r="J12">
        <v>2016</v>
      </c>
      <c r="K12">
        <v>2017</v>
      </c>
      <c r="L12">
        <v>2018</v>
      </c>
      <c r="M12">
        <v>2019</v>
      </c>
      <c r="N12">
        <v>2020</v>
      </c>
      <c r="O12">
        <v>2021</v>
      </c>
      <c r="P12">
        <v>2022</v>
      </c>
      <c r="Q12">
        <v>2023</v>
      </c>
      <c r="R12">
        <v>2024</v>
      </c>
      <c r="S12">
        <v>2025</v>
      </c>
      <c r="T12">
        <v>2026</v>
      </c>
      <c r="U12">
        <v>2027</v>
      </c>
      <c r="V12">
        <v>2028</v>
      </c>
    </row>
    <row r="14" spans="1:25">
      <c r="A14" t="s">
        <v>538</v>
      </c>
    </row>
    <row r="15" spans="1:25">
      <c r="A15" t="s">
        <v>539</v>
      </c>
      <c r="B15">
        <v>0</v>
      </c>
      <c r="C15" s="422">
        <v>389</v>
      </c>
      <c r="D15" s="422">
        <v>393</v>
      </c>
      <c r="E15" s="422">
        <v>397</v>
      </c>
      <c r="F15" s="422">
        <v>401</v>
      </c>
      <c r="G15" s="422">
        <v>405</v>
      </c>
      <c r="H15" s="422">
        <v>409</v>
      </c>
      <c r="I15" s="422">
        <v>413</v>
      </c>
      <c r="J15" s="422">
        <v>417</v>
      </c>
      <c r="K15" s="422">
        <v>421</v>
      </c>
      <c r="L15" s="422">
        <v>425</v>
      </c>
      <c r="M15" s="422">
        <v>429</v>
      </c>
      <c r="N15" s="422">
        <v>434</v>
      </c>
      <c r="O15" s="422">
        <v>438</v>
      </c>
      <c r="P15" s="422">
        <v>442</v>
      </c>
      <c r="Q15" s="422">
        <v>447</v>
      </c>
      <c r="R15" s="422">
        <v>451</v>
      </c>
      <c r="S15" s="422">
        <v>456</v>
      </c>
      <c r="T15" s="422">
        <v>460</v>
      </c>
      <c r="U15" s="422">
        <v>465</v>
      </c>
      <c r="V15" s="422">
        <v>470</v>
      </c>
    </row>
    <row r="16" spans="1:25">
      <c r="A16" t="s">
        <v>540</v>
      </c>
      <c r="B16">
        <v>0</v>
      </c>
      <c r="C16" s="422">
        <v>0</v>
      </c>
      <c r="D16" s="422">
        <v>0</v>
      </c>
      <c r="E16" s="422">
        <v>0</v>
      </c>
      <c r="F16" s="422">
        <v>0</v>
      </c>
      <c r="G16" s="422">
        <v>0</v>
      </c>
      <c r="H16" s="422">
        <v>0</v>
      </c>
      <c r="I16" s="422">
        <v>0</v>
      </c>
      <c r="J16" s="422">
        <v>0</v>
      </c>
      <c r="K16" s="422">
        <v>0</v>
      </c>
      <c r="L16" s="422">
        <v>0</v>
      </c>
      <c r="M16" s="422">
        <v>0</v>
      </c>
      <c r="N16" s="422">
        <v>0</v>
      </c>
      <c r="O16" s="422">
        <v>0</v>
      </c>
      <c r="P16" s="422">
        <v>0</v>
      </c>
      <c r="Q16" s="422">
        <v>0</v>
      </c>
      <c r="R16" s="422">
        <v>0</v>
      </c>
      <c r="S16" s="422">
        <v>0</v>
      </c>
      <c r="T16" s="422">
        <v>0</v>
      </c>
      <c r="U16" s="422">
        <v>0</v>
      </c>
      <c r="V16" s="422">
        <v>0</v>
      </c>
    </row>
    <row r="17" spans="1:22">
      <c r="A17" t="s">
        <v>541</v>
      </c>
      <c r="B17">
        <v>0</v>
      </c>
      <c r="C17" s="422">
        <v>389</v>
      </c>
      <c r="D17" s="422">
        <v>393</v>
      </c>
      <c r="E17" s="422">
        <v>397</v>
      </c>
      <c r="F17" s="422">
        <v>401</v>
      </c>
      <c r="G17" s="422">
        <v>405</v>
      </c>
      <c r="H17" s="422">
        <v>409</v>
      </c>
      <c r="I17" s="422">
        <v>413</v>
      </c>
      <c r="J17" s="422">
        <v>417</v>
      </c>
      <c r="K17" s="422">
        <v>421</v>
      </c>
      <c r="L17" s="422">
        <v>425</v>
      </c>
      <c r="M17" s="422">
        <v>429</v>
      </c>
      <c r="N17" s="422">
        <v>434</v>
      </c>
      <c r="O17" s="422">
        <v>438</v>
      </c>
      <c r="P17" s="422">
        <v>442</v>
      </c>
      <c r="Q17" s="422">
        <v>447</v>
      </c>
      <c r="R17" s="422">
        <v>451</v>
      </c>
      <c r="S17" s="422">
        <v>456</v>
      </c>
      <c r="T17" s="422">
        <v>460</v>
      </c>
      <c r="U17" s="422">
        <v>465</v>
      </c>
      <c r="V17" s="422">
        <v>470</v>
      </c>
    </row>
    <row r="18" spans="1:22">
      <c r="B18" t="s">
        <v>580</v>
      </c>
      <c r="C18" t="s">
        <v>580</v>
      </c>
      <c r="D18" t="s">
        <v>580</v>
      </c>
      <c r="E18" t="s">
        <v>580</v>
      </c>
      <c r="F18" t="s">
        <v>580</v>
      </c>
      <c r="G18" t="s">
        <v>580</v>
      </c>
      <c r="H18" t="s">
        <v>580</v>
      </c>
      <c r="I18" t="s">
        <v>580</v>
      </c>
      <c r="J18" t="s">
        <v>580</v>
      </c>
      <c r="K18" t="s">
        <v>580</v>
      </c>
      <c r="L18" t="s">
        <v>580</v>
      </c>
      <c r="M18" t="s">
        <v>580</v>
      </c>
      <c r="N18" t="s">
        <v>580</v>
      </c>
      <c r="O18" t="s">
        <v>580</v>
      </c>
      <c r="P18" t="s">
        <v>580</v>
      </c>
      <c r="Q18" t="s">
        <v>580</v>
      </c>
      <c r="R18" t="s">
        <v>580</v>
      </c>
      <c r="S18" t="s">
        <v>580</v>
      </c>
      <c r="T18" t="s">
        <v>580</v>
      </c>
      <c r="U18" t="s">
        <v>580</v>
      </c>
      <c r="V18" t="s">
        <v>580</v>
      </c>
    </row>
    <row r="19" spans="1:22">
      <c r="A19" t="s">
        <v>542</v>
      </c>
      <c r="B19" t="s">
        <v>580</v>
      </c>
      <c r="C19" t="s">
        <v>580</v>
      </c>
      <c r="D19" t="s">
        <v>580</v>
      </c>
      <c r="E19" t="s">
        <v>580</v>
      </c>
      <c r="F19" t="s">
        <v>580</v>
      </c>
      <c r="G19" t="s">
        <v>580</v>
      </c>
      <c r="H19" t="s">
        <v>580</v>
      </c>
      <c r="I19" t="s">
        <v>580</v>
      </c>
      <c r="J19" t="s">
        <v>580</v>
      </c>
      <c r="K19" t="s">
        <v>580</v>
      </c>
      <c r="L19" t="s">
        <v>580</v>
      </c>
      <c r="M19" t="s">
        <v>580</v>
      </c>
      <c r="N19" t="s">
        <v>580</v>
      </c>
      <c r="O19" t="s">
        <v>580</v>
      </c>
      <c r="P19" t="s">
        <v>580</v>
      </c>
      <c r="Q19" t="s">
        <v>580</v>
      </c>
      <c r="R19" t="s">
        <v>580</v>
      </c>
      <c r="S19" t="s">
        <v>580</v>
      </c>
      <c r="T19" t="s">
        <v>580</v>
      </c>
      <c r="U19" t="s">
        <v>580</v>
      </c>
      <c r="V19" t="s">
        <v>580</v>
      </c>
    </row>
    <row r="20" spans="1:22">
      <c r="A20" t="s">
        <v>543</v>
      </c>
      <c r="B20">
        <v>0</v>
      </c>
      <c r="C20" s="422">
        <v>68</v>
      </c>
      <c r="D20" s="422">
        <v>70</v>
      </c>
      <c r="E20" s="422">
        <v>72</v>
      </c>
      <c r="F20" s="422">
        <v>74</v>
      </c>
      <c r="G20" s="422">
        <v>76</v>
      </c>
      <c r="H20" s="422">
        <v>78</v>
      </c>
      <c r="I20" s="422">
        <v>81</v>
      </c>
      <c r="J20" s="422">
        <v>83</v>
      </c>
      <c r="K20" s="422">
        <v>86</v>
      </c>
      <c r="L20" s="422">
        <v>88</v>
      </c>
      <c r="M20" s="422">
        <v>91</v>
      </c>
      <c r="N20" s="422">
        <v>94</v>
      </c>
      <c r="O20" s="422">
        <v>96</v>
      </c>
      <c r="P20" s="422">
        <v>99</v>
      </c>
      <c r="Q20" s="422">
        <v>102</v>
      </c>
      <c r="R20" s="422">
        <v>105</v>
      </c>
      <c r="S20" s="422">
        <v>109</v>
      </c>
      <c r="T20" s="422">
        <v>112</v>
      </c>
      <c r="U20" s="422">
        <v>115</v>
      </c>
      <c r="V20" s="422">
        <v>119</v>
      </c>
    </row>
    <row r="21" spans="1:22">
      <c r="A21" t="s">
        <v>544</v>
      </c>
      <c r="B21">
        <v>0</v>
      </c>
      <c r="C21" s="422">
        <v>0</v>
      </c>
      <c r="D21" s="422">
        <v>0</v>
      </c>
      <c r="E21" s="422">
        <v>0</v>
      </c>
      <c r="F21" s="422">
        <v>0</v>
      </c>
      <c r="G21" s="422">
        <v>0</v>
      </c>
      <c r="H21" s="422">
        <v>0</v>
      </c>
      <c r="I21" s="422">
        <v>0</v>
      </c>
      <c r="J21" s="422">
        <v>0</v>
      </c>
      <c r="K21" s="422">
        <v>0</v>
      </c>
      <c r="L21" s="422">
        <v>0</v>
      </c>
      <c r="M21" s="422">
        <v>0</v>
      </c>
      <c r="N21" s="422">
        <v>0</v>
      </c>
      <c r="O21" s="422">
        <v>0</v>
      </c>
      <c r="P21" s="422">
        <v>0</v>
      </c>
      <c r="Q21" s="422">
        <v>0</v>
      </c>
      <c r="R21" s="422">
        <v>0</v>
      </c>
      <c r="S21" s="422">
        <v>0</v>
      </c>
      <c r="T21" s="422">
        <v>0</v>
      </c>
      <c r="U21" s="422">
        <v>0</v>
      </c>
      <c r="V21" s="422">
        <v>0</v>
      </c>
    </row>
    <row r="22" spans="1:22">
      <c r="A22" t="s">
        <v>545</v>
      </c>
      <c r="B22">
        <v>0</v>
      </c>
      <c r="C22" s="422">
        <v>12</v>
      </c>
      <c r="D22" s="422">
        <v>12</v>
      </c>
      <c r="E22" s="422">
        <v>12</v>
      </c>
      <c r="F22" s="422">
        <v>12</v>
      </c>
      <c r="G22" s="422">
        <v>12</v>
      </c>
      <c r="H22" s="422">
        <v>12</v>
      </c>
      <c r="I22" s="422">
        <v>12</v>
      </c>
      <c r="J22" s="422">
        <v>13</v>
      </c>
      <c r="K22" s="422">
        <v>13</v>
      </c>
      <c r="L22" s="422">
        <v>13</v>
      </c>
      <c r="M22" s="422">
        <v>13</v>
      </c>
      <c r="N22" s="422">
        <v>13</v>
      </c>
      <c r="O22" s="422">
        <v>13</v>
      </c>
      <c r="P22" s="422">
        <v>13</v>
      </c>
      <c r="Q22" s="422">
        <v>13</v>
      </c>
      <c r="R22" s="422">
        <v>14</v>
      </c>
      <c r="S22" s="422">
        <v>14</v>
      </c>
      <c r="T22" s="422">
        <v>14</v>
      </c>
      <c r="U22" s="422">
        <v>14</v>
      </c>
      <c r="V22" s="422">
        <v>14</v>
      </c>
    </row>
    <row r="23" spans="1:22">
      <c r="A23" t="s">
        <v>546</v>
      </c>
      <c r="B23">
        <v>0</v>
      </c>
      <c r="C23" s="422">
        <v>0</v>
      </c>
      <c r="D23" s="422">
        <v>0</v>
      </c>
      <c r="E23" s="422">
        <v>0</v>
      </c>
      <c r="F23" s="422">
        <v>0</v>
      </c>
      <c r="G23" s="422">
        <v>0</v>
      </c>
      <c r="H23" s="422">
        <v>0</v>
      </c>
      <c r="I23" s="422">
        <v>0</v>
      </c>
      <c r="J23" s="422">
        <v>0</v>
      </c>
      <c r="K23" s="422">
        <v>0</v>
      </c>
      <c r="L23" s="422">
        <v>0</v>
      </c>
      <c r="M23" s="422">
        <v>0</v>
      </c>
      <c r="N23" s="422">
        <v>0</v>
      </c>
      <c r="O23" s="422">
        <v>0</v>
      </c>
      <c r="P23" s="422">
        <v>0</v>
      </c>
      <c r="Q23" s="422">
        <v>0</v>
      </c>
      <c r="R23" s="422">
        <v>0</v>
      </c>
      <c r="S23" s="422">
        <v>0</v>
      </c>
      <c r="T23" s="422">
        <v>0</v>
      </c>
      <c r="U23" s="422">
        <v>0</v>
      </c>
      <c r="V23" s="422">
        <v>0</v>
      </c>
    </row>
    <row r="24" spans="1:22">
      <c r="A24" t="s">
        <v>472</v>
      </c>
      <c r="B24">
        <v>0</v>
      </c>
      <c r="C24" s="422">
        <v>0</v>
      </c>
      <c r="D24" s="422">
        <v>0</v>
      </c>
      <c r="E24" s="422">
        <v>0</v>
      </c>
      <c r="F24" s="422">
        <v>0</v>
      </c>
      <c r="G24" s="422">
        <v>0</v>
      </c>
      <c r="H24" s="422">
        <v>0</v>
      </c>
      <c r="I24" s="422">
        <v>0</v>
      </c>
      <c r="J24" s="422">
        <v>0</v>
      </c>
      <c r="K24" s="422">
        <v>0</v>
      </c>
      <c r="L24" s="422">
        <v>0</v>
      </c>
      <c r="M24" s="422">
        <v>0</v>
      </c>
      <c r="N24" s="422">
        <v>0</v>
      </c>
      <c r="O24" s="422">
        <v>0</v>
      </c>
      <c r="P24" s="422">
        <v>0</v>
      </c>
      <c r="Q24" s="422">
        <v>0</v>
      </c>
      <c r="R24" s="422">
        <v>0</v>
      </c>
      <c r="S24" s="422">
        <v>0</v>
      </c>
      <c r="T24" s="422">
        <v>0</v>
      </c>
      <c r="U24" s="422">
        <v>0</v>
      </c>
      <c r="V24" s="422">
        <v>0</v>
      </c>
    </row>
    <row r="25" spans="1:22">
      <c r="A25" t="s">
        <v>547</v>
      </c>
      <c r="B25">
        <v>0</v>
      </c>
      <c r="C25" s="422">
        <v>0</v>
      </c>
      <c r="D25" s="422">
        <v>0</v>
      </c>
      <c r="E25" s="422">
        <v>0</v>
      </c>
      <c r="F25" s="422">
        <v>0</v>
      </c>
      <c r="G25" s="422">
        <v>0</v>
      </c>
      <c r="H25" s="422">
        <v>0</v>
      </c>
      <c r="I25" s="422">
        <v>0</v>
      </c>
      <c r="J25" s="422">
        <v>0</v>
      </c>
      <c r="K25" s="422">
        <v>0</v>
      </c>
      <c r="L25" s="422">
        <v>0</v>
      </c>
      <c r="M25" s="422">
        <v>0</v>
      </c>
      <c r="N25" s="422">
        <v>0</v>
      </c>
      <c r="O25" s="422">
        <v>0</v>
      </c>
      <c r="P25" s="422">
        <v>0</v>
      </c>
      <c r="Q25" s="422">
        <v>0</v>
      </c>
      <c r="R25" s="422">
        <v>0</v>
      </c>
      <c r="S25" s="422">
        <v>0</v>
      </c>
      <c r="T25" s="422">
        <v>0</v>
      </c>
      <c r="U25" s="422">
        <v>0</v>
      </c>
      <c r="V25" s="422">
        <v>0</v>
      </c>
    </row>
    <row r="26" spans="1:22">
      <c r="A26" t="s">
        <v>548</v>
      </c>
      <c r="B26">
        <v>0</v>
      </c>
      <c r="C26" s="422">
        <v>79</v>
      </c>
      <c r="D26" s="422">
        <v>81</v>
      </c>
      <c r="E26" s="422">
        <v>84</v>
      </c>
      <c r="F26" s="422">
        <v>86</v>
      </c>
      <c r="G26" s="422">
        <v>88</v>
      </c>
      <c r="H26" s="422">
        <v>91</v>
      </c>
      <c r="I26" s="422">
        <v>93</v>
      </c>
      <c r="J26" s="422">
        <v>96</v>
      </c>
      <c r="K26" s="422">
        <v>98</v>
      </c>
      <c r="L26" s="422">
        <v>101</v>
      </c>
      <c r="M26" s="422">
        <v>104</v>
      </c>
      <c r="N26" s="422">
        <v>107</v>
      </c>
      <c r="O26" s="422">
        <v>110</v>
      </c>
      <c r="P26" s="422">
        <v>113</v>
      </c>
      <c r="Q26" s="422">
        <v>116</v>
      </c>
      <c r="R26" s="422">
        <v>119</v>
      </c>
      <c r="S26" s="422">
        <v>122</v>
      </c>
      <c r="T26" s="422">
        <v>126</v>
      </c>
      <c r="U26" s="422">
        <v>129</v>
      </c>
      <c r="V26" s="422">
        <v>133</v>
      </c>
    </row>
    <row r="27" spans="1:22">
      <c r="B27" t="s">
        <v>580</v>
      </c>
      <c r="C27" t="s">
        <v>580</v>
      </c>
      <c r="D27" t="s">
        <v>580</v>
      </c>
      <c r="E27" t="s">
        <v>580</v>
      </c>
      <c r="F27" t="s">
        <v>580</v>
      </c>
      <c r="G27" t="s">
        <v>580</v>
      </c>
      <c r="H27" t="s">
        <v>580</v>
      </c>
      <c r="I27" t="s">
        <v>580</v>
      </c>
      <c r="J27" t="s">
        <v>580</v>
      </c>
      <c r="K27" t="s">
        <v>580</v>
      </c>
      <c r="L27" t="s">
        <v>580</v>
      </c>
      <c r="M27" t="s">
        <v>580</v>
      </c>
      <c r="N27" t="s">
        <v>580</v>
      </c>
      <c r="O27" t="s">
        <v>580</v>
      </c>
      <c r="P27" t="s">
        <v>580</v>
      </c>
      <c r="Q27" t="s">
        <v>580</v>
      </c>
      <c r="R27" t="s">
        <v>580</v>
      </c>
      <c r="S27" t="s">
        <v>580</v>
      </c>
      <c r="T27" t="s">
        <v>580</v>
      </c>
      <c r="U27" t="s">
        <v>580</v>
      </c>
      <c r="V27" t="s">
        <v>580</v>
      </c>
    </row>
    <row r="28" spans="1:22">
      <c r="A28" t="s">
        <v>549</v>
      </c>
      <c r="B28">
        <v>0</v>
      </c>
      <c r="C28" s="422">
        <v>309</v>
      </c>
      <c r="D28" s="422">
        <v>311</v>
      </c>
      <c r="E28" s="422">
        <v>313</v>
      </c>
      <c r="F28" s="422">
        <v>315</v>
      </c>
      <c r="G28" s="422">
        <v>316</v>
      </c>
      <c r="H28" s="422">
        <v>318</v>
      </c>
      <c r="I28" s="422">
        <v>320</v>
      </c>
      <c r="J28" s="422">
        <v>321</v>
      </c>
      <c r="K28" s="422">
        <v>323</v>
      </c>
      <c r="L28" s="422">
        <v>324</v>
      </c>
      <c r="M28" s="422">
        <v>326</v>
      </c>
      <c r="N28" s="422">
        <v>327</v>
      </c>
      <c r="O28" s="422">
        <v>329</v>
      </c>
      <c r="P28" s="422">
        <v>330</v>
      </c>
      <c r="Q28" s="422">
        <v>331</v>
      </c>
      <c r="R28" s="422">
        <v>332</v>
      </c>
      <c r="S28" s="422">
        <v>334</v>
      </c>
      <c r="T28" s="422">
        <v>335</v>
      </c>
      <c r="U28" s="422">
        <v>336</v>
      </c>
      <c r="V28" s="422">
        <v>337</v>
      </c>
    </row>
    <row r="29" spans="1:22">
      <c r="B29" t="s">
        <v>580</v>
      </c>
      <c r="C29" t="s">
        <v>580</v>
      </c>
      <c r="D29" t="s">
        <v>580</v>
      </c>
      <c r="E29" t="s">
        <v>580</v>
      </c>
      <c r="F29" t="s">
        <v>580</v>
      </c>
      <c r="G29" t="s">
        <v>580</v>
      </c>
      <c r="H29" t="s">
        <v>580</v>
      </c>
      <c r="I29" t="s">
        <v>580</v>
      </c>
      <c r="J29" t="s">
        <v>580</v>
      </c>
      <c r="K29" t="s">
        <v>580</v>
      </c>
      <c r="L29" t="s">
        <v>580</v>
      </c>
      <c r="M29" t="s">
        <v>580</v>
      </c>
      <c r="N29" t="s">
        <v>580</v>
      </c>
      <c r="O29" t="s">
        <v>580</v>
      </c>
      <c r="P29" t="s">
        <v>580</v>
      </c>
      <c r="Q29" t="s">
        <v>580</v>
      </c>
      <c r="R29" t="s">
        <v>580</v>
      </c>
      <c r="S29" t="s">
        <v>580</v>
      </c>
      <c r="T29" t="s">
        <v>580</v>
      </c>
      <c r="U29" t="s">
        <v>580</v>
      </c>
      <c r="V29" t="s">
        <v>580</v>
      </c>
    </row>
    <row r="30" spans="1:22">
      <c r="A30" t="s">
        <v>550</v>
      </c>
      <c r="B30" t="s">
        <v>580</v>
      </c>
      <c r="C30" t="s">
        <v>580</v>
      </c>
      <c r="D30" t="s">
        <v>580</v>
      </c>
      <c r="E30" t="s">
        <v>580</v>
      </c>
      <c r="F30" t="s">
        <v>580</v>
      </c>
      <c r="G30" t="s">
        <v>580</v>
      </c>
      <c r="H30" t="s">
        <v>580</v>
      </c>
      <c r="I30" t="s">
        <v>580</v>
      </c>
      <c r="J30" t="s">
        <v>580</v>
      </c>
      <c r="K30" t="s">
        <v>580</v>
      </c>
      <c r="L30" t="s">
        <v>580</v>
      </c>
      <c r="M30" t="s">
        <v>580</v>
      </c>
      <c r="N30" t="s">
        <v>580</v>
      </c>
      <c r="O30" t="s">
        <v>580</v>
      </c>
      <c r="P30" t="s">
        <v>580</v>
      </c>
      <c r="Q30" t="s">
        <v>580</v>
      </c>
      <c r="R30" t="s">
        <v>580</v>
      </c>
      <c r="S30" t="s">
        <v>580</v>
      </c>
      <c r="T30" t="s">
        <v>580</v>
      </c>
      <c r="U30" t="s">
        <v>580</v>
      </c>
      <c r="V30" t="s">
        <v>580</v>
      </c>
    </row>
    <row r="31" spans="1:22">
      <c r="A31" t="s">
        <v>551</v>
      </c>
      <c r="B31">
        <v>0</v>
      </c>
      <c r="C31" s="422">
        <v>221</v>
      </c>
      <c r="D31" s="422">
        <v>216</v>
      </c>
      <c r="E31" s="422">
        <v>210</v>
      </c>
      <c r="F31" s="422">
        <v>203</v>
      </c>
      <c r="G31" s="422">
        <v>197</v>
      </c>
      <c r="H31" s="422">
        <v>190</v>
      </c>
      <c r="I31" s="422">
        <v>182</v>
      </c>
      <c r="J31" s="422">
        <v>174</v>
      </c>
      <c r="K31" s="422">
        <v>165</v>
      </c>
      <c r="L31" s="422">
        <v>156</v>
      </c>
      <c r="M31" s="422">
        <v>146</v>
      </c>
      <c r="N31" s="422">
        <v>135</v>
      </c>
      <c r="O31" s="422">
        <v>124</v>
      </c>
      <c r="P31" s="422">
        <v>112</v>
      </c>
      <c r="Q31" s="422">
        <v>99</v>
      </c>
      <c r="R31" s="422">
        <v>85</v>
      </c>
      <c r="S31" s="422">
        <v>70</v>
      </c>
      <c r="T31" s="422">
        <v>54</v>
      </c>
      <c r="U31" s="422">
        <v>37</v>
      </c>
      <c r="V31" s="422">
        <v>19</v>
      </c>
    </row>
    <row r="32" spans="1:22">
      <c r="A32" t="s">
        <v>552</v>
      </c>
      <c r="B32">
        <v>0</v>
      </c>
      <c r="C32" s="14">
        <v>0.2</v>
      </c>
      <c r="D32" s="14">
        <v>0.32</v>
      </c>
      <c r="E32" s="14">
        <v>0.192</v>
      </c>
      <c r="F32" s="14">
        <v>0.1152</v>
      </c>
      <c r="G32" s="14">
        <v>0.1152</v>
      </c>
      <c r="H32" s="14">
        <v>5.7599999999999998E-2</v>
      </c>
      <c r="I32" s="14">
        <v>0</v>
      </c>
      <c r="J32" s="14">
        <v>0</v>
      </c>
      <c r="K32" s="14">
        <v>0</v>
      </c>
      <c r="L32" s="14">
        <v>0</v>
      </c>
      <c r="M32" s="14">
        <v>0</v>
      </c>
      <c r="N32" s="14">
        <v>0</v>
      </c>
      <c r="O32" s="14">
        <v>0</v>
      </c>
      <c r="P32" s="14">
        <v>0</v>
      </c>
      <c r="Q32" s="14">
        <v>0</v>
      </c>
      <c r="R32" s="14">
        <v>0</v>
      </c>
      <c r="S32" s="14">
        <v>0</v>
      </c>
      <c r="T32" s="14">
        <v>0</v>
      </c>
      <c r="U32" s="14">
        <v>0</v>
      </c>
      <c r="V32" s="14">
        <v>0</v>
      </c>
    </row>
    <row r="33" spans="1:24">
      <c r="A33" t="s">
        <v>553</v>
      </c>
      <c r="B33">
        <v>0</v>
      </c>
      <c r="C33" s="422">
        <v>813</v>
      </c>
      <c r="D33" s="422">
        <v>1301</v>
      </c>
      <c r="E33" s="422">
        <v>780</v>
      </c>
      <c r="F33" s="422">
        <v>468</v>
      </c>
      <c r="G33" s="422">
        <v>468</v>
      </c>
      <c r="H33" s="422">
        <v>234</v>
      </c>
      <c r="I33" s="422">
        <v>0</v>
      </c>
      <c r="J33" s="422">
        <v>0</v>
      </c>
      <c r="K33" s="422">
        <v>0</v>
      </c>
      <c r="L33" s="422">
        <v>0</v>
      </c>
      <c r="M33" s="422">
        <v>0</v>
      </c>
      <c r="N33" s="422">
        <v>0</v>
      </c>
      <c r="O33" s="422">
        <v>0</v>
      </c>
      <c r="P33" s="422">
        <v>0</v>
      </c>
      <c r="Q33" s="422">
        <v>0</v>
      </c>
      <c r="R33" s="422">
        <v>0</v>
      </c>
      <c r="S33" s="422">
        <v>0</v>
      </c>
      <c r="T33" s="422">
        <v>0</v>
      </c>
      <c r="U33" s="422">
        <v>0</v>
      </c>
      <c r="V33" s="422">
        <v>0</v>
      </c>
    </row>
    <row r="34" spans="1:24">
      <c r="A34" t="s">
        <v>554</v>
      </c>
      <c r="B34">
        <v>0</v>
      </c>
      <c r="C34" s="422">
        <v>0</v>
      </c>
      <c r="D34" s="422">
        <v>0</v>
      </c>
      <c r="E34" s="422">
        <v>0</v>
      </c>
      <c r="F34" s="422">
        <v>0</v>
      </c>
      <c r="G34" s="422">
        <v>0</v>
      </c>
      <c r="H34" s="422">
        <v>0</v>
      </c>
      <c r="I34" s="422">
        <v>0</v>
      </c>
      <c r="J34" s="422">
        <v>0</v>
      </c>
      <c r="K34" s="422">
        <v>0</v>
      </c>
      <c r="L34" s="422">
        <v>0</v>
      </c>
      <c r="M34" s="422">
        <v>0</v>
      </c>
      <c r="N34" s="422">
        <v>0</v>
      </c>
      <c r="O34" s="422">
        <v>0</v>
      </c>
      <c r="P34" s="422">
        <v>0</v>
      </c>
      <c r="Q34" s="422">
        <v>0</v>
      </c>
      <c r="R34" s="422">
        <v>0</v>
      </c>
      <c r="S34" s="422">
        <v>0</v>
      </c>
      <c r="T34" s="422">
        <v>0</v>
      </c>
      <c r="U34" s="422">
        <v>0</v>
      </c>
      <c r="V34" s="422">
        <v>0</v>
      </c>
    </row>
    <row r="35" spans="1:24">
      <c r="A35" t="s">
        <v>555</v>
      </c>
      <c r="B35">
        <v>0</v>
      </c>
      <c r="C35" s="422">
        <v>1034</v>
      </c>
      <c r="D35" s="422">
        <v>1516</v>
      </c>
      <c r="E35" s="422">
        <v>990</v>
      </c>
      <c r="F35" s="422">
        <v>672</v>
      </c>
      <c r="G35" s="422">
        <v>665</v>
      </c>
      <c r="H35" s="422">
        <v>424</v>
      </c>
      <c r="I35" s="422">
        <v>182</v>
      </c>
      <c r="J35" s="422">
        <v>174</v>
      </c>
      <c r="K35" s="422">
        <v>165</v>
      </c>
      <c r="L35" s="422">
        <v>156</v>
      </c>
      <c r="M35" s="422">
        <v>146</v>
      </c>
      <c r="N35" s="422">
        <v>135</v>
      </c>
      <c r="O35" s="422">
        <v>124</v>
      </c>
      <c r="P35" s="422">
        <v>112</v>
      </c>
      <c r="Q35" s="422">
        <v>99</v>
      </c>
      <c r="R35" s="422">
        <v>85</v>
      </c>
      <c r="S35" s="422">
        <v>70</v>
      </c>
      <c r="T35" s="422">
        <v>54</v>
      </c>
      <c r="U35" s="422">
        <v>37</v>
      </c>
      <c r="V35" s="422">
        <v>19</v>
      </c>
    </row>
    <row r="36" spans="1:24">
      <c r="B36" t="s">
        <v>580</v>
      </c>
      <c r="C36" t="s">
        <v>580</v>
      </c>
      <c r="D36" t="s">
        <v>580</v>
      </c>
      <c r="E36" t="s">
        <v>580</v>
      </c>
      <c r="F36" t="s">
        <v>580</v>
      </c>
      <c r="G36" t="s">
        <v>580</v>
      </c>
      <c r="H36" t="s">
        <v>580</v>
      </c>
      <c r="I36" t="s">
        <v>580</v>
      </c>
      <c r="J36">
        <f>J37/I37</f>
        <v>1.0652173913043479</v>
      </c>
      <c r="K36">
        <f>K37/J37</f>
        <v>1.0748299319727892</v>
      </c>
      <c r="L36">
        <f>L37/K37</f>
        <v>1.0696202531645569</v>
      </c>
      <c r="M36">
        <f>M37/L37</f>
        <v>1.0650887573964498</v>
      </c>
      <c r="N36">
        <f t="shared" ref="N36:T36" si="1">N37/M37</f>
        <v>1.0666666666666667</v>
      </c>
      <c r="O36">
        <f t="shared" si="1"/>
        <v>1.0677083333333333</v>
      </c>
      <c r="P36">
        <f t="shared" si="1"/>
        <v>1.0634146341463415</v>
      </c>
      <c r="Q36">
        <f t="shared" si="1"/>
        <v>1.0688073394495412</v>
      </c>
      <c r="R36">
        <f t="shared" si="1"/>
        <v>1.0643776824034334</v>
      </c>
      <c r="S36">
        <f t="shared" si="1"/>
        <v>1.064516129032258</v>
      </c>
      <c r="T36">
        <f t="shared" si="1"/>
        <v>1.0643939393939394</v>
      </c>
      <c r="U36" t="s">
        <v>580</v>
      </c>
      <c r="V36" t="s">
        <v>580</v>
      </c>
    </row>
    <row r="37" spans="1:24">
      <c r="A37" t="s">
        <v>556</v>
      </c>
      <c r="B37">
        <v>0</v>
      </c>
      <c r="C37" s="422">
        <v>-725</v>
      </c>
      <c r="D37" s="422">
        <v>-1205</v>
      </c>
      <c r="E37" s="422">
        <v>-677</v>
      </c>
      <c r="F37" s="422">
        <v>-357</v>
      </c>
      <c r="G37" s="422">
        <v>-349</v>
      </c>
      <c r="H37" s="422">
        <v>-106</v>
      </c>
      <c r="I37" s="422">
        <v>138</v>
      </c>
      <c r="J37" s="422">
        <v>147</v>
      </c>
      <c r="K37" s="422">
        <v>158</v>
      </c>
      <c r="L37" s="422">
        <v>169</v>
      </c>
      <c r="M37" s="422">
        <v>180</v>
      </c>
      <c r="N37" s="422">
        <v>192</v>
      </c>
      <c r="O37" s="422">
        <v>205</v>
      </c>
      <c r="P37" s="422">
        <v>218</v>
      </c>
      <c r="Q37" s="422">
        <v>233</v>
      </c>
      <c r="R37" s="422">
        <v>248</v>
      </c>
      <c r="S37" s="422">
        <v>264</v>
      </c>
      <c r="T37" s="422">
        <v>281</v>
      </c>
      <c r="U37" s="422">
        <v>299</v>
      </c>
      <c r="V37" s="422">
        <v>318</v>
      </c>
    </row>
    <row r="38" spans="1:24">
      <c r="A38" t="s">
        <v>557</v>
      </c>
      <c r="B38">
        <v>0</v>
      </c>
      <c r="C38" s="422">
        <v>-268</v>
      </c>
      <c r="D38" s="422">
        <v>-446</v>
      </c>
      <c r="E38" s="422">
        <v>-251</v>
      </c>
      <c r="F38" s="422">
        <v>-132</v>
      </c>
      <c r="G38" s="422">
        <v>-129</v>
      </c>
      <c r="H38" s="422">
        <v>-39</v>
      </c>
      <c r="I38" s="422">
        <v>51</v>
      </c>
      <c r="J38" s="422">
        <v>55</v>
      </c>
      <c r="K38" s="422">
        <v>58</v>
      </c>
      <c r="L38" s="422">
        <v>62</v>
      </c>
      <c r="M38" s="422">
        <v>67</v>
      </c>
      <c r="N38" s="422">
        <v>71</v>
      </c>
      <c r="O38" s="422">
        <v>76</v>
      </c>
      <c r="P38" s="422">
        <v>81</v>
      </c>
      <c r="Q38" s="422">
        <v>86</v>
      </c>
      <c r="R38" s="422">
        <v>92</v>
      </c>
      <c r="S38" s="422">
        <v>98</v>
      </c>
      <c r="T38" s="422">
        <v>104</v>
      </c>
      <c r="U38" s="422">
        <v>111</v>
      </c>
      <c r="V38" s="422">
        <v>118</v>
      </c>
    </row>
    <row r="39" spans="1:24">
      <c r="A39" t="s">
        <v>558</v>
      </c>
      <c r="B39">
        <v>0</v>
      </c>
      <c r="C39" s="422">
        <v>0</v>
      </c>
      <c r="D39" s="422">
        <v>0</v>
      </c>
      <c r="E39" s="422">
        <v>0</v>
      </c>
      <c r="F39" s="422">
        <v>0</v>
      </c>
      <c r="G39" s="422">
        <v>0</v>
      </c>
      <c r="H39" s="422">
        <v>0</v>
      </c>
      <c r="I39" s="422">
        <v>0</v>
      </c>
      <c r="J39" s="422">
        <v>0</v>
      </c>
      <c r="K39" s="422">
        <v>0</v>
      </c>
      <c r="L39" s="422">
        <v>0</v>
      </c>
      <c r="M39" s="422">
        <v>0</v>
      </c>
      <c r="N39" s="422">
        <v>0</v>
      </c>
      <c r="O39" s="422">
        <v>0</v>
      </c>
      <c r="P39" s="422">
        <v>0</v>
      </c>
      <c r="Q39" s="422">
        <v>0</v>
      </c>
      <c r="R39" s="422">
        <v>0</v>
      </c>
      <c r="S39" s="422">
        <v>0</v>
      </c>
      <c r="T39" s="422">
        <v>0</v>
      </c>
      <c r="U39" s="422">
        <v>0</v>
      </c>
      <c r="V39" s="422">
        <v>0</v>
      </c>
    </row>
    <row r="40" spans="1:24">
      <c r="B40" t="s">
        <v>580</v>
      </c>
      <c r="C40" s="535">
        <f t="shared" ref="C40:F40" si="2">D40/1.065</f>
        <v>35.392841815911758</v>
      </c>
      <c r="D40" s="535">
        <f t="shared" si="2"/>
        <v>37.693376533946022</v>
      </c>
      <c r="E40" s="535">
        <f t="shared" si="2"/>
        <v>40.143446008652511</v>
      </c>
      <c r="F40" s="535">
        <f t="shared" si="2"/>
        <v>42.752769999214919</v>
      </c>
      <c r="G40" s="535">
        <f>H40/1.065</f>
        <v>45.531700049163888</v>
      </c>
      <c r="H40" s="535">
        <f>I40/1.065</f>
        <v>48.491260552359542</v>
      </c>
      <c r="I40" s="536">
        <f t="shared" ref="I40:T40" si="3">J38/1.065</f>
        <v>51.643192488262912</v>
      </c>
      <c r="J40" s="536">
        <f t="shared" si="3"/>
        <v>54.460093896713616</v>
      </c>
      <c r="K40" s="536">
        <f t="shared" si="3"/>
        <v>58.215962441314559</v>
      </c>
      <c r="L40" s="536">
        <f t="shared" si="3"/>
        <v>62.910798122065728</v>
      </c>
      <c r="M40" s="536">
        <f t="shared" si="3"/>
        <v>66.666666666666671</v>
      </c>
      <c r="N40" s="536">
        <f t="shared" si="3"/>
        <v>71.36150234741784</v>
      </c>
      <c r="O40" s="536">
        <f t="shared" si="3"/>
        <v>76.056338028169023</v>
      </c>
      <c r="P40" s="536">
        <f t="shared" si="3"/>
        <v>80.751173708920192</v>
      </c>
      <c r="Q40" s="536">
        <f t="shared" si="3"/>
        <v>86.3849765258216</v>
      </c>
      <c r="R40" s="536">
        <f t="shared" si="3"/>
        <v>92.018779342723008</v>
      </c>
      <c r="S40" s="536">
        <f t="shared" si="3"/>
        <v>97.652582159624416</v>
      </c>
      <c r="T40" s="536">
        <f t="shared" si="3"/>
        <v>104.22535211267606</v>
      </c>
      <c r="U40" s="536">
        <f>V38/1.065</f>
        <v>110.79812206572771</v>
      </c>
      <c r="V40" s="537">
        <f>U40*1.065</f>
        <v>118</v>
      </c>
      <c r="W40" s="533">
        <f>AVERAGE(C40:V40)</f>
        <v>69.057546743267608</v>
      </c>
      <c r="X40" t="s">
        <v>669</v>
      </c>
    </row>
    <row r="41" spans="1:24">
      <c r="A41" t="s">
        <v>559</v>
      </c>
      <c r="B41">
        <v>0</v>
      </c>
      <c r="C41" s="422">
        <v>-457</v>
      </c>
      <c r="D41" s="422">
        <v>-759</v>
      </c>
      <c r="E41" s="422">
        <v>-427</v>
      </c>
      <c r="F41" s="422">
        <v>-225</v>
      </c>
      <c r="G41" s="422">
        <v>-220</v>
      </c>
      <c r="H41" s="422">
        <v>-67</v>
      </c>
      <c r="I41" s="422">
        <v>87</v>
      </c>
      <c r="J41" s="422">
        <v>93</v>
      </c>
      <c r="K41" s="422">
        <v>99</v>
      </c>
      <c r="L41" s="422">
        <v>106</v>
      </c>
      <c r="M41" s="422">
        <v>113</v>
      </c>
      <c r="N41" s="422">
        <v>121</v>
      </c>
      <c r="O41" s="422">
        <v>129</v>
      </c>
      <c r="P41" s="422">
        <v>138</v>
      </c>
      <c r="Q41" s="422">
        <v>147</v>
      </c>
      <c r="R41" s="422">
        <v>156</v>
      </c>
      <c r="S41" s="422">
        <v>166</v>
      </c>
      <c r="T41" s="422">
        <v>177</v>
      </c>
      <c r="U41" s="422">
        <v>188</v>
      </c>
      <c r="V41" s="422">
        <v>200</v>
      </c>
      <c r="W41" s="534">
        <f>W40*1000/_KWturb</f>
        <v>34.528773371633804</v>
      </c>
      <c r="X41" t="s">
        <v>670</v>
      </c>
    </row>
    <row r="42" spans="1:24">
      <c r="B42" t="s">
        <v>580</v>
      </c>
      <c r="C42" s="422"/>
      <c r="D42" s="422"/>
      <c r="E42" s="422"/>
      <c r="F42" s="422"/>
      <c r="G42" s="422"/>
      <c r="H42" s="422"/>
      <c r="I42" s="422"/>
      <c r="J42" t="s">
        <v>580</v>
      </c>
      <c r="K42" t="s">
        <v>580</v>
      </c>
      <c r="L42" t="s">
        <v>580</v>
      </c>
      <c r="M42" t="s">
        <v>580</v>
      </c>
      <c r="N42" t="s">
        <v>580</v>
      </c>
      <c r="O42" t="s">
        <v>580</v>
      </c>
      <c r="P42" t="s">
        <v>580</v>
      </c>
      <c r="Q42" t="s">
        <v>580</v>
      </c>
      <c r="R42" t="s">
        <v>580</v>
      </c>
      <c r="S42" t="s">
        <v>580</v>
      </c>
      <c r="T42" t="s">
        <v>580</v>
      </c>
      <c r="U42" t="s">
        <v>580</v>
      </c>
      <c r="V42" t="s">
        <v>580</v>
      </c>
    </row>
    <row r="43" spans="1:24">
      <c r="A43" t="s">
        <v>560</v>
      </c>
      <c r="B43" t="s">
        <v>580</v>
      </c>
      <c r="C43" t="s">
        <v>580</v>
      </c>
      <c r="D43" t="s">
        <v>580</v>
      </c>
      <c r="E43" t="s">
        <v>580</v>
      </c>
      <c r="F43" t="s">
        <v>580</v>
      </c>
      <c r="G43" t="s">
        <v>580</v>
      </c>
      <c r="H43" t="s">
        <v>580</v>
      </c>
      <c r="I43" t="s">
        <v>580</v>
      </c>
      <c r="J43" t="s">
        <v>580</v>
      </c>
      <c r="K43" t="s">
        <v>580</v>
      </c>
      <c r="L43" t="s">
        <v>580</v>
      </c>
      <c r="M43" t="s">
        <v>580</v>
      </c>
      <c r="N43" t="s">
        <v>580</v>
      </c>
      <c r="O43" t="s">
        <v>580</v>
      </c>
      <c r="P43" t="s">
        <v>580</v>
      </c>
      <c r="Q43" t="s">
        <v>580</v>
      </c>
      <c r="R43" t="s">
        <v>580</v>
      </c>
      <c r="S43" t="s">
        <v>580</v>
      </c>
      <c r="T43" t="s">
        <v>580</v>
      </c>
      <c r="U43" t="s">
        <v>580</v>
      </c>
      <c r="V43" t="s">
        <v>580</v>
      </c>
    </row>
    <row r="44" spans="1:24">
      <c r="A44" t="s">
        <v>561</v>
      </c>
      <c r="B44" t="s">
        <v>580</v>
      </c>
      <c r="C44" s="422">
        <v>0</v>
      </c>
      <c r="D44" t="s">
        <v>580</v>
      </c>
      <c r="E44" t="s">
        <v>580</v>
      </c>
      <c r="F44" t="s">
        <v>580</v>
      </c>
      <c r="G44" t="s">
        <v>580</v>
      </c>
      <c r="H44" t="s">
        <v>580</v>
      </c>
      <c r="I44" t="s">
        <v>580</v>
      </c>
      <c r="J44" t="s">
        <v>580</v>
      </c>
      <c r="K44" t="s">
        <v>580</v>
      </c>
      <c r="L44" t="s">
        <v>580</v>
      </c>
      <c r="M44" t="s">
        <v>580</v>
      </c>
      <c r="N44" t="s">
        <v>580</v>
      </c>
      <c r="O44" t="s">
        <v>580</v>
      </c>
      <c r="P44" t="s">
        <v>580</v>
      </c>
      <c r="Q44" t="s">
        <v>580</v>
      </c>
      <c r="R44" t="s">
        <v>580</v>
      </c>
      <c r="S44" t="s">
        <v>580</v>
      </c>
      <c r="T44" t="s">
        <v>580</v>
      </c>
      <c r="U44" t="s">
        <v>580</v>
      </c>
      <c r="V44" t="s">
        <v>580</v>
      </c>
    </row>
    <row r="45" spans="1:24">
      <c r="A45" t="s">
        <v>553</v>
      </c>
      <c r="B45">
        <v>0</v>
      </c>
      <c r="C45" s="422">
        <v>813</v>
      </c>
      <c r="D45" s="422">
        <v>1301</v>
      </c>
      <c r="E45" s="422">
        <v>780</v>
      </c>
      <c r="F45" s="422">
        <v>468</v>
      </c>
      <c r="G45" s="422">
        <v>468</v>
      </c>
      <c r="H45" s="422">
        <v>234</v>
      </c>
      <c r="I45" s="422">
        <v>0</v>
      </c>
      <c r="J45" s="422">
        <v>0</v>
      </c>
      <c r="K45" s="422">
        <v>0</v>
      </c>
      <c r="L45" s="422">
        <v>0</v>
      </c>
      <c r="M45" s="422">
        <v>0</v>
      </c>
      <c r="N45" s="422">
        <v>0</v>
      </c>
      <c r="O45" s="422">
        <v>0</v>
      </c>
      <c r="P45" s="422">
        <v>0</v>
      </c>
      <c r="Q45" s="422">
        <v>0</v>
      </c>
      <c r="R45" s="422">
        <v>0</v>
      </c>
      <c r="S45" s="422">
        <v>0</v>
      </c>
      <c r="T45" s="422">
        <v>0</v>
      </c>
      <c r="U45" s="422">
        <v>0</v>
      </c>
      <c r="V45" s="422">
        <v>0</v>
      </c>
    </row>
    <row r="46" spans="1:24">
      <c r="A46" t="s">
        <v>554</v>
      </c>
      <c r="B46">
        <v>0</v>
      </c>
      <c r="C46" s="422">
        <v>0</v>
      </c>
      <c r="D46" s="422">
        <v>0</v>
      </c>
      <c r="E46" s="422">
        <v>0</v>
      </c>
      <c r="F46" s="422">
        <v>0</v>
      </c>
      <c r="G46" s="422">
        <v>0</v>
      </c>
      <c r="H46" s="422">
        <v>0</v>
      </c>
      <c r="I46" s="422">
        <v>0</v>
      </c>
      <c r="J46" s="422">
        <v>0</v>
      </c>
      <c r="K46" s="422">
        <v>0</v>
      </c>
      <c r="L46" s="422">
        <v>0</v>
      </c>
      <c r="M46" s="422">
        <v>0</v>
      </c>
      <c r="N46" s="422">
        <v>0</v>
      </c>
      <c r="O46" s="422">
        <v>0</v>
      </c>
      <c r="P46" s="422">
        <v>0</v>
      </c>
      <c r="Q46" s="422">
        <v>0</v>
      </c>
      <c r="R46" s="422">
        <v>0</v>
      </c>
      <c r="S46" s="422">
        <v>0</v>
      </c>
      <c r="T46" s="422">
        <v>0</v>
      </c>
      <c r="U46" s="422">
        <v>0</v>
      </c>
      <c r="V46" s="422">
        <v>0</v>
      </c>
    </row>
    <row r="47" spans="1:24">
      <c r="A47" t="s">
        <v>562</v>
      </c>
      <c r="B47">
        <v>0</v>
      </c>
      <c r="C47" s="422">
        <v>0</v>
      </c>
      <c r="D47" s="422">
        <v>0</v>
      </c>
      <c r="E47" s="422">
        <v>0</v>
      </c>
      <c r="F47" s="422">
        <v>0</v>
      </c>
      <c r="G47" s="422">
        <v>0</v>
      </c>
      <c r="H47" s="422">
        <v>0</v>
      </c>
      <c r="I47" s="422">
        <v>0</v>
      </c>
      <c r="J47" s="422">
        <v>0</v>
      </c>
      <c r="K47" s="422">
        <v>0</v>
      </c>
      <c r="L47" s="422">
        <v>0</v>
      </c>
      <c r="M47" s="422">
        <v>0</v>
      </c>
      <c r="N47" s="422">
        <v>0</v>
      </c>
      <c r="O47" s="422">
        <v>0</v>
      </c>
      <c r="P47" s="422">
        <v>0</v>
      </c>
      <c r="Q47" s="422">
        <v>0</v>
      </c>
      <c r="R47" s="422">
        <v>0</v>
      </c>
      <c r="S47" s="422">
        <v>0</v>
      </c>
      <c r="T47" s="422">
        <v>0</v>
      </c>
      <c r="U47" s="422">
        <v>0</v>
      </c>
      <c r="V47" s="422">
        <v>0</v>
      </c>
    </row>
    <row r="48" spans="1:24">
      <c r="A48" t="s">
        <v>563</v>
      </c>
      <c r="B48">
        <v>0</v>
      </c>
      <c r="C48" s="422">
        <v>813</v>
      </c>
      <c r="D48" s="422">
        <v>1301</v>
      </c>
      <c r="E48" s="422">
        <v>780</v>
      </c>
      <c r="F48" s="422">
        <v>468</v>
      </c>
      <c r="G48" s="422">
        <v>468</v>
      </c>
      <c r="H48" s="422">
        <v>234</v>
      </c>
      <c r="I48" s="422">
        <v>0</v>
      </c>
      <c r="J48" s="422">
        <v>0</v>
      </c>
      <c r="K48" s="422">
        <v>0</v>
      </c>
      <c r="L48" s="422">
        <v>0</v>
      </c>
      <c r="M48" s="422">
        <v>0</v>
      </c>
      <c r="N48" s="422">
        <v>0</v>
      </c>
      <c r="O48" s="422">
        <v>0</v>
      </c>
      <c r="P48" s="422">
        <v>0</v>
      </c>
      <c r="Q48" s="422">
        <v>0</v>
      </c>
      <c r="R48" s="422">
        <v>0</v>
      </c>
      <c r="S48" s="422">
        <v>0</v>
      </c>
      <c r="T48" s="422">
        <v>0</v>
      </c>
      <c r="U48" s="422">
        <v>0</v>
      </c>
      <c r="V48" s="422">
        <v>0</v>
      </c>
    </row>
    <row r="49" spans="1:22">
      <c r="B49" t="s">
        <v>580</v>
      </c>
      <c r="C49" t="s">
        <v>580</v>
      </c>
      <c r="D49" t="s">
        <v>580</v>
      </c>
      <c r="E49" t="s">
        <v>580</v>
      </c>
      <c r="F49" t="s">
        <v>580</v>
      </c>
      <c r="G49" t="s">
        <v>580</v>
      </c>
      <c r="H49" t="s">
        <v>580</v>
      </c>
      <c r="I49" t="s">
        <v>580</v>
      </c>
      <c r="J49" t="s">
        <v>580</v>
      </c>
      <c r="K49" t="s">
        <v>580</v>
      </c>
      <c r="L49" t="s">
        <v>580</v>
      </c>
      <c r="M49" t="s">
        <v>580</v>
      </c>
      <c r="N49" t="s">
        <v>580</v>
      </c>
      <c r="O49" t="s">
        <v>580</v>
      </c>
      <c r="P49" t="s">
        <v>580</v>
      </c>
      <c r="Q49" t="s">
        <v>580</v>
      </c>
      <c r="R49" t="s">
        <v>580</v>
      </c>
      <c r="S49" t="s">
        <v>580</v>
      </c>
      <c r="T49" t="s">
        <v>580</v>
      </c>
      <c r="U49" t="s">
        <v>580</v>
      </c>
      <c r="V49" t="s">
        <v>580</v>
      </c>
    </row>
    <row r="50" spans="1:22">
      <c r="A50" t="s">
        <v>624</v>
      </c>
      <c r="B50" t="s">
        <v>580</v>
      </c>
      <c r="C50" t="s">
        <v>580</v>
      </c>
      <c r="D50" t="s">
        <v>580</v>
      </c>
      <c r="E50" t="s">
        <v>580</v>
      </c>
      <c r="F50" t="s">
        <v>580</v>
      </c>
      <c r="G50" t="s">
        <v>580</v>
      </c>
      <c r="H50" t="s">
        <v>580</v>
      </c>
      <c r="I50" t="s">
        <v>580</v>
      </c>
      <c r="J50" t="s">
        <v>580</v>
      </c>
      <c r="K50" t="s">
        <v>580</v>
      </c>
      <c r="L50" t="s">
        <v>580</v>
      </c>
      <c r="M50" t="s">
        <v>580</v>
      </c>
      <c r="N50" t="s">
        <v>580</v>
      </c>
      <c r="O50" t="s">
        <v>580</v>
      </c>
      <c r="P50" t="s">
        <v>580</v>
      </c>
      <c r="Q50" t="s">
        <v>580</v>
      </c>
      <c r="R50" t="s">
        <v>580</v>
      </c>
      <c r="S50" t="s">
        <v>580</v>
      </c>
      <c r="T50" t="s">
        <v>580</v>
      </c>
      <c r="U50" t="s">
        <v>580</v>
      </c>
      <c r="V50" t="s">
        <v>580</v>
      </c>
    </row>
    <row r="51" spans="1:22">
      <c r="A51" t="s">
        <v>564</v>
      </c>
      <c r="B51">
        <v>0</v>
      </c>
      <c r="C51" s="422">
        <v>81</v>
      </c>
      <c r="D51" s="422">
        <v>87</v>
      </c>
      <c r="E51" s="422">
        <v>92</v>
      </c>
      <c r="F51" s="422">
        <v>99</v>
      </c>
      <c r="G51" s="422">
        <v>105</v>
      </c>
      <c r="H51" s="422">
        <v>113</v>
      </c>
      <c r="I51" s="422">
        <v>120</v>
      </c>
      <c r="J51" s="422">
        <v>128</v>
      </c>
      <c r="K51" s="422">
        <v>137</v>
      </c>
      <c r="L51" s="422">
        <v>147</v>
      </c>
      <c r="M51" s="422">
        <v>157</v>
      </c>
      <c r="N51" s="422">
        <v>167</v>
      </c>
      <c r="O51" s="422">
        <v>179</v>
      </c>
      <c r="P51" s="422">
        <v>191</v>
      </c>
      <c r="Q51" s="422">
        <v>204</v>
      </c>
      <c r="R51" s="422">
        <v>217</v>
      </c>
      <c r="S51" s="422">
        <v>232</v>
      </c>
      <c r="T51" s="422">
        <v>248</v>
      </c>
      <c r="U51" s="422">
        <v>265</v>
      </c>
      <c r="V51" s="422">
        <v>283</v>
      </c>
    </row>
    <row r="52" spans="1:22">
      <c r="A52" t="s">
        <v>565</v>
      </c>
      <c r="B52">
        <v>0</v>
      </c>
      <c r="C52" s="422">
        <v>81</v>
      </c>
      <c r="D52" s="422">
        <v>87</v>
      </c>
      <c r="E52" s="422">
        <v>92</v>
      </c>
      <c r="F52" s="422">
        <v>99</v>
      </c>
      <c r="G52" s="422">
        <v>105</v>
      </c>
      <c r="H52" s="422">
        <v>113</v>
      </c>
      <c r="I52" s="422">
        <v>120</v>
      </c>
      <c r="J52" s="422">
        <v>128</v>
      </c>
      <c r="K52" s="422">
        <v>137</v>
      </c>
      <c r="L52" s="422">
        <v>147</v>
      </c>
      <c r="M52" s="422">
        <v>157</v>
      </c>
      <c r="N52" s="422">
        <v>167</v>
      </c>
      <c r="O52" s="422">
        <v>179</v>
      </c>
      <c r="P52" s="422">
        <v>191</v>
      </c>
      <c r="Q52" s="422">
        <v>204</v>
      </c>
      <c r="R52" s="422">
        <v>217</v>
      </c>
      <c r="S52" s="422">
        <v>232</v>
      </c>
      <c r="T52" s="422">
        <v>248</v>
      </c>
      <c r="U52" s="422">
        <v>265</v>
      </c>
      <c r="V52" s="422">
        <v>283</v>
      </c>
    </row>
    <row r="53" spans="1:22">
      <c r="B53" t="s">
        <v>580</v>
      </c>
      <c r="C53" t="s">
        <v>580</v>
      </c>
      <c r="D53" t="s">
        <v>580</v>
      </c>
      <c r="E53" t="s">
        <v>580</v>
      </c>
      <c r="F53" t="s">
        <v>580</v>
      </c>
      <c r="G53" t="s">
        <v>580</v>
      </c>
      <c r="H53" t="s">
        <v>580</v>
      </c>
      <c r="I53" t="s">
        <v>580</v>
      </c>
      <c r="J53" t="s">
        <v>580</v>
      </c>
      <c r="K53" t="s">
        <v>580</v>
      </c>
      <c r="L53" t="s">
        <v>580</v>
      </c>
      <c r="M53" t="s">
        <v>580</v>
      </c>
      <c r="N53" t="s">
        <v>580</v>
      </c>
      <c r="O53" t="s">
        <v>580</v>
      </c>
      <c r="P53" t="s">
        <v>580</v>
      </c>
      <c r="Q53" t="s">
        <v>580</v>
      </c>
      <c r="R53" t="s">
        <v>580</v>
      </c>
      <c r="S53" t="s">
        <v>580</v>
      </c>
      <c r="T53" t="s">
        <v>580</v>
      </c>
      <c r="U53" t="s">
        <v>580</v>
      </c>
      <c r="V53" t="s">
        <v>580</v>
      </c>
    </row>
    <row r="54" spans="1:22">
      <c r="A54" t="s">
        <v>566</v>
      </c>
      <c r="B54" s="422">
        <v>-813</v>
      </c>
      <c r="C54" s="422">
        <v>7</v>
      </c>
      <c r="D54" s="422">
        <v>9</v>
      </c>
      <c r="E54" s="422">
        <v>11</v>
      </c>
      <c r="F54" s="422">
        <v>12</v>
      </c>
      <c r="G54" s="422">
        <v>14</v>
      </c>
      <c r="H54" s="422">
        <v>16</v>
      </c>
      <c r="I54" s="422">
        <v>17</v>
      </c>
      <c r="J54" s="422">
        <v>19</v>
      </c>
      <c r="K54" s="422">
        <v>20</v>
      </c>
      <c r="L54" s="422">
        <v>22</v>
      </c>
      <c r="M54" s="422">
        <v>23</v>
      </c>
      <c r="N54" s="422">
        <v>25</v>
      </c>
      <c r="O54" s="422">
        <v>26</v>
      </c>
      <c r="P54" s="422">
        <v>28</v>
      </c>
      <c r="Q54" s="422">
        <v>29</v>
      </c>
      <c r="R54" s="422">
        <v>30</v>
      </c>
      <c r="S54" s="422">
        <v>31</v>
      </c>
      <c r="T54" s="422">
        <v>33</v>
      </c>
      <c r="U54" s="422">
        <v>34</v>
      </c>
      <c r="V54" s="422">
        <v>35</v>
      </c>
    </row>
    <row r="55" spans="1:22">
      <c r="A55" t="s">
        <v>567</v>
      </c>
      <c r="B55">
        <v>0</v>
      </c>
      <c r="C55" s="422">
        <v>-268</v>
      </c>
      <c r="D55" s="422">
        <v>-446</v>
      </c>
      <c r="E55" s="422">
        <v>-251</v>
      </c>
      <c r="F55" s="422">
        <v>-132</v>
      </c>
      <c r="G55" s="422">
        <v>-129</v>
      </c>
      <c r="H55" s="422">
        <v>-39</v>
      </c>
      <c r="I55" s="422">
        <v>51</v>
      </c>
      <c r="J55" s="422">
        <v>55</v>
      </c>
      <c r="K55" s="422">
        <v>58</v>
      </c>
      <c r="L55" s="422">
        <v>62</v>
      </c>
      <c r="M55" s="422">
        <v>67</v>
      </c>
      <c r="N55" s="422">
        <v>71</v>
      </c>
      <c r="O55" s="422">
        <v>76</v>
      </c>
      <c r="P55" s="422">
        <v>81</v>
      </c>
      <c r="Q55" s="422">
        <v>86</v>
      </c>
      <c r="R55" s="422">
        <v>92</v>
      </c>
      <c r="S55" s="422">
        <v>98</v>
      </c>
      <c r="T55" s="422">
        <v>104</v>
      </c>
      <c r="U55" s="422">
        <v>111</v>
      </c>
      <c r="V55" s="422">
        <v>118</v>
      </c>
    </row>
    <row r="56" spans="1:22">
      <c r="A56" t="s">
        <v>568</v>
      </c>
      <c r="B56">
        <v>0</v>
      </c>
      <c r="C56" s="422">
        <v>0</v>
      </c>
      <c r="D56" s="422">
        <v>0</v>
      </c>
      <c r="E56" s="422">
        <v>0</v>
      </c>
      <c r="F56" s="422">
        <v>0</v>
      </c>
      <c r="G56" s="422">
        <v>0</v>
      </c>
      <c r="H56" s="422">
        <v>0</v>
      </c>
      <c r="I56" s="422">
        <v>0</v>
      </c>
      <c r="J56" s="422">
        <v>0</v>
      </c>
      <c r="K56" s="422">
        <v>0</v>
      </c>
      <c r="L56" s="422">
        <v>0</v>
      </c>
      <c r="M56" s="422">
        <v>0</v>
      </c>
      <c r="N56" s="422">
        <v>0</v>
      </c>
      <c r="O56" s="422">
        <v>0</v>
      </c>
      <c r="P56" s="422">
        <v>0</v>
      </c>
      <c r="Q56" s="422">
        <v>0</v>
      </c>
      <c r="R56" s="422">
        <v>0</v>
      </c>
      <c r="S56" s="422">
        <v>0</v>
      </c>
      <c r="T56" s="422">
        <v>0</v>
      </c>
      <c r="U56" s="422">
        <v>0</v>
      </c>
      <c r="V56" s="422">
        <v>0</v>
      </c>
    </row>
    <row r="57" spans="1:22">
      <c r="B57" s="514" t="s">
        <v>580</v>
      </c>
      <c r="C57" t="s">
        <v>580</v>
      </c>
      <c r="D57" t="s">
        <v>580</v>
      </c>
      <c r="E57" t="s">
        <v>580</v>
      </c>
      <c r="F57" t="s">
        <v>580</v>
      </c>
      <c r="G57" t="s">
        <v>580</v>
      </c>
      <c r="H57" t="s">
        <v>580</v>
      </c>
      <c r="I57" t="s">
        <v>580</v>
      </c>
      <c r="J57" t="s">
        <v>580</v>
      </c>
      <c r="K57" t="s">
        <v>580</v>
      </c>
      <c r="L57" t="s">
        <v>580</v>
      </c>
      <c r="M57" t="s">
        <v>580</v>
      </c>
      <c r="N57" t="s">
        <v>580</v>
      </c>
      <c r="O57" t="s">
        <v>580</v>
      </c>
      <c r="P57" t="s">
        <v>580</v>
      </c>
      <c r="Q57" t="s">
        <v>580</v>
      </c>
      <c r="R57" t="s">
        <v>580</v>
      </c>
      <c r="S57" t="s">
        <v>580</v>
      </c>
      <c r="T57" t="s">
        <v>580</v>
      </c>
      <c r="U57" t="s">
        <v>580</v>
      </c>
      <c r="V57" t="s">
        <v>580</v>
      </c>
    </row>
    <row r="58" spans="1:22">
      <c r="A58" t="s">
        <v>569</v>
      </c>
      <c r="B58" s="422">
        <v>-813</v>
      </c>
      <c r="C58" s="422">
        <v>275</v>
      </c>
      <c r="D58" s="422">
        <v>455</v>
      </c>
      <c r="E58" s="422">
        <v>261</v>
      </c>
      <c r="F58" s="422">
        <v>145</v>
      </c>
      <c r="G58" s="422">
        <v>143</v>
      </c>
      <c r="H58" s="422">
        <v>55</v>
      </c>
      <c r="I58" s="422">
        <v>-34</v>
      </c>
      <c r="J58" s="422">
        <v>-36</v>
      </c>
      <c r="K58" s="422">
        <v>-38</v>
      </c>
      <c r="L58" s="422">
        <v>-40</v>
      </c>
      <c r="M58" s="422">
        <v>-43</v>
      </c>
      <c r="N58" s="422">
        <v>-46</v>
      </c>
      <c r="O58" s="422">
        <v>-49</v>
      </c>
      <c r="P58" s="422">
        <v>-53</v>
      </c>
      <c r="Q58" s="422">
        <v>-57</v>
      </c>
      <c r="R58" s="422">
        <v>-61</v>
      </c>
      <c r="S58" s="422">
        <v>-66</v>
      </c>
      <c r="T58" s="422">
        <v>-71</v>
      </c>
      <c r="U58" s="422">
        <v>-77</v>
      </c>
      <c r="V58" s="422">
        <v>-83</v>
      </c>
    </row>
    <row r="59" spans="1:22">
      <c r="B59" t="s">
        <v>580</v>
      </c>
      <c r="C59" t="s">
        <v>580</v>
      </c>
      <c r="D59" t="s">
        <v>580</v>
      </c>
      <c r="E59" t="s">
        <v>580</v>
      </c>
      <c r="F59" t="s">
        <v>580</v>
      </c>
      <c r="G59" t="s">
        <v>580</v>
      </c>
      <c r="H59" t="s">
        <v>580</v>
      </c>
      <c r="I59" t="s">
        <v>580</v>
      </c>
      <c r="J59" t="s">
        <v>580</v>
      </c>
      <c r="K59" t="s">
        <v>580</v>
      </c>
      <c r="L59" t="s">
        <v>580</v>
      </c>
      <c r="M59" t="s">
        <v>580</v>
      </c>
      <c r="N59" t="s">
        <v>580</v>
      </c>
      <c r="O59" t="s">
        <v>580</v>
      </c>
      <c r="P59" t="s">
        <v>580</v>
      </c>
      <c r="Q59" t="s">
        <v>580</v>
      </c>
      <c r="R59" t="s">
        <v>580</v>
      </c>
      <c r="S59" t="s">
        <v>580</v>
      </c>
      <c r="T59" t="s">
        <v>580</v>
      </c>
      <c r="U59" t="s">
        <v>580</v>
      </c>
      <c r="V59" t="s">
        <v>580</v>
      </c>
    </row>
    <row r="60" spans="1:22">
      <c r="A60" t="s">
        <v>570</v>
      </c>
      <c r="B60" t="s">
        <v>580</v>
      </c>
      <c r="C60" s="422">
        <v>-538</v>
      </c>
      <c r="D60" s="422">
        <v>-83</v>
      </c>
      <c r="E60" s="422">
        <v>179</v>
      </c>
      <c r="F60" s="422">
        <v>323</v>
      </c>
      <c r="G60" s="422">
        <v>466</v>
      </c>
      <c r="H60" s="422">
        <v>521</v>
      </c>
      <c r="I60" s="422">
        <v>488</v>
      </c>
      <c r="J60" s="422">
        <v>452</v>
      </c>
      <c r="K60" s="422">
        <v>414</v>
      </c>
      <c r="L60" s="422">
        <v>374</v>
      </c>
      <c r="M60" s="422">
        <v>331</v>
      </c>
      <c r="N60" s="422">
        <v>285</v>
      </c>
      <c r="O60" s="422">
        <v>235</v>
      </c>
      <c r="P60" s="422">
        <v>182</v>
      </c>
      <c r="Q60" s="422">
        <v>125</v>
      </c>
      <c r="R60" s="422">
        <v>63</v>
      </c>
      <c r="S60" s="422">
        <v>-3</v>
      </c>
      <c r="T60" s="422">
        <v>-74</v>
      </c>
      <c r="U60" s="422">
        <v>-151</v>
      </c>
      <c r="V60" s="422">
        <v>-233</v>
      </c>
    </row>
    <row r="61" spans="1:22">
      <c r="A61" t="s">
        <v>571</v>
      </c>
      <c r="B61" t="s">
        <v>580</v>
      </c>
      <c r="C61" t="s">
        <v>580</v>
      </c>
      <c r="D61" t="s">
        <v>580</v>
      </c>
      <c r="E61" t="s">
        <v>580</v>
      </c>
      <c r="F61" t="s">
        <v>580</v>
      </c>
      <c r="G61" t="s">
        <v>580</v>
      </c>
      <c r="H61" t="s">
        <v>580</v>
      </c>
      <c r="I61" t="s">
        <v>580</v>
      </c>
      <c r="J61" t="s">
        <v>580</v>
      </c>
      <c r="K61" t="s">
        <v>580</v>
      </c>
      <c r="L61" t="s">
        <v>580</v>
      </c>
      <c r="M61" t="s">
        <v>580</v>
      </c>
      <c r="N61" t="s">
        <v>580</v>
      </c>
      <c r="O61" t="s">
        <v>580</v>
      </c>
      <c r="P61" t="s">
        <v>580</v>
      </c>
      <c r="Q61" t="s">
        <v>580</v>
      </c>
      <c r="R61" t="s">
        <v>580</v>
      </c>
      <c r="S61" t="s">
        <v>580</v>
      </c>
      <c r="T61" t="s">
        <v>580</v>
      </c>
      <c r="U61" t="s">
        <v>580</v>
      </c>
      <c r="V61" t="s">
        <v>580</v>
      </c>
    </row>
    <row r="62" spans="1:22">
      <c r="A62" t="s">
        <v>572</v>
      </c>
      <c r="B62" t="s">
        <v>580</v>
      </c>
      <c r="C62">
        <v>1</v>
      </c>
      <c r="D62">
        <v>1</v>
      </c>
      <c r="E62">
        <v>0</v>
      </c>
      <c r="F62">
        <v>0</v>
      </c>
      <c r="G62">
        <v>0</v>
      </c>
      <c r="H62">
        <v>0</v>
      </c>
      <c r="I62">
        <v>0</v>
      </c>
      <c r="J62">
        <v>0</v>
      </c>
      <c r="K62">
        <v>0</v>
      </c>
      <c r="L62">
        <v>0</v>
      </c>
      <c r="M62">
        <v>0</v>
      </c>
      <c r="N62">
        <v>0</v>
      </c>
      <c r="O62">
        <v>0</v>
      </c>
      <c r="P62">
        <v>0</v>
      </c>
      <c r="Q62">
        <v>0</v>
      </c>
      <c r="R62">
        <v>0</v>
      </c>
      <c r="S62">
        <v>1</v>
      </c>
      <c r="T62">
        <v>1</v>
      </c>
      <c r="U62">
        <v>1</v>
      </c>
      <c r="V62">
        <v>1</v>
      </c>
    </row>
    <row r="63" spans="1:22">
      <c r="B63" t="s">
        <v>580</v>
      </c>
      <c r="C63" t="s">
        <v>580</v>
      </c>
      <c r="D63" t="s">
        <v>580</v>
      </c>
      <c r="E63" t="s">
        <v>580</v>
      </c>
      <c r="F63" t="s">
        <v>580</v>
      </c>
      <c r="G63" t="s">
        <v>580</v>
      </c>
      <c r="H63" t="s">
        <v>580</v>
      </c>
      <c r="I63" t="s">
        <v>580</v>
      </c>
      <c r="J63" t="s">
        <v>580</v>
      </c>
      <c r="K63" t="s">
        <v>580</v>
      </c>
      <c r="L63" t="s">
        <v>580</v>
      </c>
      <c r="M63" t="s">
        <v>580</v>
      </c>
      <c r="N63" t="s">
        <v>580</v>
      </c>
      <c r="O63" t="s">
        <v>580</v>
      </c>
      <c r="P63" t="s">
        <v>580</v>
      </c>
      <c r="Q63" t="s">
        <v>580</v>
      </c>
      <c r="R63" t="s">
        <v>580</v>
      </c>
      <c r="S63" t="s">
        <v>580</v>
      </c>
      <c r="T63" t="s">
        <v>580</v>
      </c>
      <c r="U63" t="s">
        <v>580</v>
      </c>
      <c r="V63" t="s">
        <v>580</v>
      </c>
    </row>
    <row r="64" spans="1:22">
      <c r="A64" t="s">
        <v>573</v>
      </c>
      <c r="B64" s="422">
        <v>-3252</v>
      </c>
      <c r="C64" t="s">
        <v>580</v>
      </c>
      <c r="D64" t="s">
        <v>580</v>
      </c>
      <c r="E64" t="s">
        <v>580</v>
      </c>
      <c r="F64" t="s">
        <v>580</v>
      </c>
      <c r="G64" t="s">
        <v>580</v>
      </c>
      <c r="H64" t="s">
        <v>580</v>
      </c>
      <c r="I64" t="s">
        <v>580</v>
      </c>
      <c r="J64" t="s">
        <v>580</v>
      </c>
      <c r="K64" t="s">
        <v>580</v>
      </c>
      <c r="L64" t="s">
        <v>580</v>
      </c>
      <c r="M64" t="s">
        <v>580</v>
      </c>
      <c r="N64" t="s">
        <v>580</v>
      </c>
      <c r="O64" t="s">
        <v>580</v>
      </c>
      <c r="P64" t="s">
        <v>580</v>
      </c>
      <c r="Q64" t="s">
        <v>580</v>
      </c>
      <c r="R64" t="s">
        <v>580</v>
      </c>
      <c r="S64" t="s">
        <v>580</v>
      </c>
      <c r="T64" t="s">
        <v>580</v>
      </c>
      <c r="U64" t="s">
        <v>580</v>
      </c>
      <c r="V64" t="s">
        <v>580</v>
      </c>
    </row>
    <row r="65" spans="1:23">
      <c r="A65" t="s">
        <v>574</v>
      </c>
      <c r="B65" t="s">
        <v>580</v>
      </c>
      <c r="C65" s="422">
        <v>-3252</v>
      </c>
      <c r="D65" s="422">
        <v>-3171</v>
      </c>
      <c r="E65" s="422">
        <v>-3084</v>
      </c>
      <c r="F65" s="422">
        <v>-2992</v>
      </c>
      <c r="G65" s="422">
        <v>-2893</v>
      </c>
      <c r="H65" s="422">
        <v>-2788</v>
      </c>
      <c r="I65" s="422">
        <v>-2675</v>
      </c>
      <c r="J65" s="422">
        <v>-2555</v>
      </c>
      <c r="K65" s="422">
        <v>-2426</v>
      </c>
      <c r="L65" s="422">
        <v>-2289</v>
      </c>
      <c r="M65" s="422">
        <v>-2142</v>
      </c>
      <c r="N65" s="422">
        <v>-1986</v>
      </c>
      <c r="O65" s="422">
        <v>-1819</v>
      </c>
      <c r="P65" s="422">
        <v>-1640</v>
      </c>
      <c r="Q65" s="422">
        <v>-1449</v>
      </c>
      <c r="R65" s="422">
        <v>-1246</v>
      </c>
      <c r="S65" s="422">
        <v>-1028</v>
      </c>
      <c r="T65" s="422">
        <v>-796</v>
      </c>
      <c r="U65" s="422">
        <v>-548</v>
      </c>
      <c r="V65" s="422">
        <v>-283</v>
      </c>
    </row>
    <row r="66" spans="1:23">
      <c r="A66" t="s">
        <v>575</v>
      </c>
      <c r="B66" t="s">
        <v>580</v>
      </c>
      <c r="C66" s="422">
        <v>221</v>
      </c>
      <c r="D66" s="422">
        <v>216</v>
      </c>
      <c r="E66" s="422">
        <v>210</v>
      </c>
      <c r="F66" s="422">
        <v>203</v>
      </c>
      <c r="G66" s="422">
        <v>197</v>
      </c>
      <c r="H66" s="422">
        <v>190</v>
      </c>
      <c r="I66" s="422">
        <v>182</v>
      </c>
      <c r="J66" s="422">
        <v>174</v>
      </c>
      <c r="K66" s="422">
        <v>165</v>
      </c>
      <c r="L66" s="422">
        <v>156</v>
      </c>
      <c r="M66" s="422">
        <v>146</v>
      </c>
      <c r="N66" s="422">
        <v>135</v>
      </c>
      <c r="O66" s="422">
        <v>124</v>
      </c>
      <c r="P66" s="422">
        <v>112</v>
      </c>
      <c r="Q66" s="422">
        <v>99</v>
      </c>
      <c r="R66" s="422">
        <v>85</v>
      </c>
      <c r="S66" s="422">
        <v>70</v>
      </c>
      <c r="T66" s="422">
        <v>54</v>
      </c>
      <c r="U66" s="422">
        <v>37</v>
      </c>
      <c r="V66" s="422">
        <v>19</v>
      </c>
    </row>
    <row r="67" spans="1:23">
      <c r="A67" t="s">
        <v>576</v>
      </c>
      <c r="B67" t="s">
        <v>580</v>
      </c>
      <c r="C67" s="422">
        <v>81</v>
      </c>
      <c r="D67" s="422">
        <v>87</v>
      </c>
      <c r="E67" s="422">
        <v>92</v>
      </c>
      <c r="F67" s="422">
        <v>99</v>
      </c>
      <c r="G67" s="422">
        <v>105</v>
      </c>
      <c r="H67" s="422">
        <v>113</v>
      </c>
      <c r="I67" s="422">
        <v>120</v>
      </c>
      <c r="J67" s="422">
        <v>128</v>
      </c>
      <c r="K67" s="422">
        <v>137</v>
      </c>
      <c r="L67" s="422">
        <v>147</v>
      </c>
      <c r="M67" s="422">
        <v>157</v>
      </c>
      <c r="N67" s="422">
        <v>167</v>
      </c>
      <c r="O67" s="422">
        <v>179</v>
      </c>
      <c r="P67" s="422">
        <v>191</v>
      </c>
      <c r="Q67" s="422">
        <v>204</v>
      </c>
      <c r="R67" s="422">
        <v>217</v>
      </c>
      <c r="S67" s="422">
        <v>232</v>
      </c>
      <c r="T67" s="422">
        <v>248</v>
      </c>
      <c r="U67" s="422">
        <v>265</v>
      </c>
      <c r="V67" s="422">
        <v>283</v>
      </c>
    </row>
    <row r="68" spans="1:23">
      <c r="A68" t="s">
        <v>577</v>
      </c>
      <c r="B68" t="s">
        <v>580</v>
      </c>
      <c r="C68" s="422">
        <v>302</v>
      </c>
      <c r="D68" s="422">
        <v>302</v>
      </c>
      <c r="E68" s="422">
        <v>302</v>
      </c>
      <c r="F68" s="422">
        <v>302</v>
      </c>
      <c r="G68" s="422">
        <v>302</v>
      </c>
      <c r="H68" s="422">
        <v>302</v>
      </c>
      <c r="I68" s="422">
        <v>302</v>
      </c>
      <c r="J68" s="422">
        <v>302</v>
      </c>
      <c r="K68" s="422">
        <v>302</v>
      </c>
      <c r="L68" s="422">
        <v>302</v>
      </c>
      <c r="M68" s="422">
        <v>302</v>
      </c>
      <c r="N68" s="422">
        <v>302</v>
      </c>
      <c r="O68" s="422">
        <v>302</v>
      </c>
      <c r="P68" s="422">
        <v>302</v>
      </c>
      <c r="Q68" s="422">
        <v>302</v>
      </c>
      <c r="R68" s="422">
        <v>302</v>
      </c>
      <c r="S68" s="422">
        <v>302</v>
      </c>
      <c r="T68" s="422">
        <v>302</v>
      </c>
      <c r="U68" s="422">
        <v>302</v>
      </c>
      <c r="V68" s="422">
        <v>302</v>
      </c>
    </row>
    <row r="69" spans="1:23">
      <c r="B69" t="s">
        <v>580</v>
      </c>
      <c r="C69" s="521">
        <f>1000*AVERAGE(C67:V67)/2000</f>
        <v>81.3</v>
      </c>
      <c r="D69" t="s">
        <v>580</v>
      </c>
      <c r="E69" t="s">
        <v>580</v>
      </c>
      <c r="F69" t="s">
        <v>580</v>
      </c>
      <c r="G69" t="s">
        <v>580</v>
      </c>
      <c r="H69" t="s">
        <v>580</v>
      </c>
      <c r="I69" t="s">
        <v>580</v>
      </c>
      <c r="J69" t="s">
        <v>580</v>
      </c>
      <c r="K69" t="s">
        <v>580</v>
      </c>
      <c r="L69" t="s">
        <v>580</v>
      </c>
      <c r="M69" t="s">
        <v>580</v>
      </c>
      <c r="N69" t="s">
        <v>580</v>
      </c>
      <c r="O69" t="s">
        <v>580</v>
      </c>
      <c r="P69" t="s">
        <v>580</v>
      </c>
      <c r="Q69" t="s">
        <v>580</v>
      </c>
      <c r="R69" t="s">
        <v>580</v>
      </c>
      <c r="S69" t="s">
        <v>580</v>
      </c>
      <c r="T69" t="s">
        <v>580</v>
      </c>
      <c r="U69" t="s">
        <v>580</v>
      </c>
      <c r="V69" t="s">
        <v>580</v>
      </c>
    </row>
    <row r="70" spans="1:23">
      <c r="A70" t="s">
        <v>578</v>
      </c>
      <c r="B70" s="422">
        <v>0</v>
      </c>
      <c r="C70" t="s">
        <v>580</v>
      </c>
      <c r="D70" t="s">
        <v>580</v>
      </c>
      <c r="E70" t="s">
        <v>580</v>
      </c>
      <c r="F70" t="s">
        <v>580</v>
      </c>
      <c r="G70" t="s">
        <v>580</v>
      </c>
      <c r="H70" t="s">
        <v>580</v>
      </c>
      <c r="I70" t="s">
        <v>580</v>
      </c>
      <c r="J70" t="s">
        <v>580</v>
      </c>
      <c r="K70" t="s">
        <v>580</v>
      </c>
      <c r="L70" t="s">
        <v>580</v>
      </c>
      <c r="M70" t="s">
        <v>580</v>
      </c>
      <c r="N70" t="s">
        <v>580</v>
      </c>
      <c r="O70" t="s">
        <v>580</v>
      </c>
      <c r="P70" t="s">
        <v>580</v>
      </c>
      <c r="Q70" t="s">
        <v>580</v>
      </c>
      <c r="R70" t="s">
        <v>580</v>
      </c>
      <c r="S70" t="s">
        <v>580</v>
      </c>
      <c r="T70" t="s">
        <v>580</v>
      </c>
      <c r="U70" t="s">
        <v>580</v>
      </c>
      <c r="V70" t="s">
        <v>580</v>
      </c>
    </row>
    <row r="71" spans="1:23">
      <c r="A71" t="s">
        <v>574</v>
      </c>
      <c r="B71" t="s">
        <v>580</v>
      </c>
      <c r="C71" s="422">
        <v>0</v>
      </c>
      <c r="D71" s="422">
        <v>0</v>
      </c>
      <c r="E71" s="422">
        <v>0</v>
      </c>
      <c r="F71" s="422">
        <v>0</v>
      </c>
      <c r="G71" s="422">
        <v>0</v>
      </c>
      <c r="H71" s="422">
        <v>0</v>
      </c>
      <c r="I71" s="422">
        <v>0</v>
      </c>
      <c r="J71" s="422">
        <v>0</v>
      </c>
      <c r="K71" s="422">
        <v>0</v>
      </c>
      <c r="L71" s="422">
        <v>0</v>
      </c>
      <c r="M71" s="422">
        <v>0</v>
      </c>
      <c r="N71" s="422">
        <v>0</v>
      </c>
      <c r="O71" s="422">
        <v>0</v>
      </c>
      <c r="P71" s="422">
        <v>0</v>
      </c>
      <c r="Q71" s="422">
        <v>0</v>
      </c>
      <c r="R71" s="422">
        <v>0</v>
      </c>
      <c r="S71" s="422">
        <v>0</v>
      </c>
      <c r="T71" s="422">
        <v>0</v>
      </c>
      <c r="U71" s="422">
        <v>0</v>
      </c>
      <c r="V71" s="422">
        <v>0</v>
      </c>
    </row>
    <row r="72" spans="1:23">
      <c r="A72" t="s">
        <v>575</v>
      </c>
      <c r="B72" t="s">
        <v>580</v>
      </c>
      <c r="C72" s="422">
        <v>0</v>
      </c>
      <c r="D72" s="422">
        <v>0</v>
      </c>
      <c r="E72" s="422">
        <v>0</v>
      </c>
      <c r="F72" s="422">
        <v>0</v>
      </c>
      <c r="G72" s="422">
        <v>0</v>
      </c>
      <c r="H72" s="422">
        <v>0</v>
      </c>
      <c r="I72" s="422">
        <v>0</v>
      </c>
      <c r="J72" s="422">
        <v>0</v>
      </c>
      <c r="K72" s="422">
        <v>0</v>
      </c>
      <c r="L72" s="422">
        <v>0</v>
      </c>
      <c r="M72" s="422">
        <v>0</v>
      </c>
      <c r="N72" s="422">
        <v>0</v>
      </c>
      <c r="O72" s="422">
        <v>0</v>
      </c>
      <c r="P72" s="422">
        <v>0</v>
      </c>
      <c r="Q72" s="422">
        <v>0</v>
      </c>
      <c r="R72" s="422">
        <v>0</v>
      </c>
      <c r="S72" s="422">
        <v>0</v>
      </c>
      <c r="T72" s="422">
        <v>0</v>
      </c>
      <c r="U72" s="422">
        <v>0</v>
      </c>
      <c r="V72" s="422">
        <v>0</v>
      </c>
    </row>
    <row r="73" spans="1:23">
      <c r="A73" t="s">
        <v>576</v>
      </c>
      <c r="B73" t="s">
        <v>580</v>
      </c>
      <c r="C73" s="422">
        <v>0</v>
      </c>
      <c r="D73" s="422">
        <v>0</v>
      </c>
      <c r="E73" s="422">
        <v>0</v>
      </c>
      <c r="F73" s="422">
        <v>0</v>
      </c>
      <c r="G73" s="422">
        <v>0</v>
      </c>
      <c r="H73" s="422">
        <v>0</v>
      </c>
      <c r="I73" s="422">
        <v>0</v>
      </c>
      <c r="J73" s="422">
        <v>0</v>
      </c>
      <c r="K73" s="422">
        <v>0</v>
      </c>
      <c r="L73" s="422">
        <v>0</v>
      </c>
      <c r="M73" s="422">
        <v>0</v>
      </c>
      <c r="N73" s="422">
        <v>0</v>
      </c>
      <c r="O73" s="422">
        <v>0</v>
      </c>
      <c r="P73" s="422">
        <v>0</v>
      </c>
      <c r="Q73" s="422">
        <v>0</v>
      </c>
      <c r="R73" s="422">
        <v>0</v>
      </c>
      <c r="S73" s="422">
        <v>0</v>
      </c>
      <c r="T73" s="422">
        <v>0</v>
      </c>
      <c r="U73" s="422">
        <v>0</v>
      </c>
      <c r="V73" s="422">
        <v>0</v>
      </c>
    </row>
    <row r="74" spans="1:23">
      <c r="A74" t="s">
        <v>577</v>
      </c>
      <c r="B74" t="s">
        <v>580</v>
      </c>
      <c r="C74" s="422">
        <v>0</v>
      </c>
      <c r="D74" s="422">
        <v>0</v>
      </c>
      <c r="E74" s="422">
        <v>0</v>
      </c>
      <c r="F74" s="422">
        <v>0</v>
      </c>
      <c r="G74" s="422">
        <v>0</v>
      </c>
      <c r="H74" s="422">
        <v>0</v>
      </c>
      <c r="I74" s="422">
        <v>0</v>
      </c>
      <c r="J74" s="422">
        <v>0</v>
      </c>
      <c r="K74" s="422">
        <v>0</v>
      </c>
      <c r="L74" s="422">
        <v>0</v>
      </c>
      <c r="M74" s="422">
        <v>0</v>
      </c>
      <c r="N74" s="422">
        <v>0</v>
      </c>
      <c r="O74" s="422">
        <v>0</v>
      </c>
      <c r="P74" s="422">
        <v>0</v>
      </c>
      <c r="Q74" s="422">
        <v>0</v>
      </c>
      <c r="R74" s="422">
        <v>0</v>
      </c>
      <c r="S74" s="422">
        <v>0</v>
      </c>
      <c r="T74" s="422">
        <v>0</v>
      </c>
      <c r="U74" s="422">
        <v>0</v>
      </c>
      <c r="V74" s="422">
        <v>0</v>
      </c>
    </row>
    <row r="75" spans="1:23">
      <c r="B75" t="s">
        <v>580</v>
      </c>
      <c r="C75" t="s">
        <v>580</v>
      </c>
      <c r="D75" t="s">
        <v>580</v>
      </c>
      <c r="E75" t="s">
        <v>580</v>
      </c>
      <c r="F75" t="s">
        <v>580</v>
      </c>
      <c r="G75" t="s">
        <v>580</v>
      </c>
      <c r="H75" t="s">
        <v>580</v>
      </c>
      <c r="I75" t="s">
        <v>580</v>
      </c>
      <c r="J75" t="s">
        <v>580</v>
      </c>
      <c r="K75" t="s">
        <v>580</v>
      </c>
      <c r="L75" t="s">
        <v>580</v>
      </c>
      <c r="M75" t="s">
        <v>580</v>
      </c>
      <c r="N75" t="s">
        <v>580</v>
      </c>
      <c r="O75" t="s">
        <v>580</v>
      </c>
      <c r="P75" t="s">
        <v>580</v>
      </c>
      <c r="Q75" t="s">
        <v>580</v>
      </c>
      <c r="R75" t="s">
        <v>580</v>
      </c>
      <c r="S75" t="s">
        <v>580</v>
      </c>
      <c r="T75" t="s">
        <v>580</v>
      </c>
      <c r="U75" t="s">
        <v>580</v>
      </c>
      <c r="V75" t="s">
        <v>580</v>
      </c>
    </row>
    <row r="76" spans="1:23">
      <c r="A76" t="s">
        <v>579</v>
      </c>
      <c r="B76" s="515" t="s">
        <v>580</v>
      </c>
      <c r="C76">
        <v>1.02</v>
      </c>
      <c r="D76">
        <v>1.03</v>
      </c>
      <c r="E76">
        <v>1.04</v>
      </c>
      <c r="F76">
        <v>1.04</v>
      </c>
      <c r="G76">
        <v>1.05</v>
      </c>
      <c r="H76">
        <v>1.05</v>
      </c>
      <c r="I76">
        <v>1.06</v>
      </c>
      <c r="J76">
        <v>1.06</v>
      </c>
      <c r="K76">
        <v>1.07</v>
      </c>
      <c r="L76">
        <v>1.07</v>
      </c>
      <c r="M76">
        <v>1.08</v>
      </c>
      <c r="N76">
        <v>1.08</v>
      </c>
      <c r="O76">
        <v>1.0900000000000001</v>
      </c>
      <c r="P76">
        <v>1.0900000000000001</v>
      </c>
      <c r="Q76">
        <v>1.1000000000000001</v>
      </c>
      <c r="R76">
        <v>1.1000000000000001</v>
      </c>
      <c r="S76">
        <v>1.1000000000000001</v>
      </c>
      <c r="T76">
        <v>1.1100000000000001</v>
      </c>
      <c r="U76">
        <v>1.1100000000000001</v>
      </c>
      <c r="V76" t="s">
        <v>580</v>
      </c>
    </row>
    <row r="77" spans="1:23">
      <c r="A77" t="s">
        <v>580</v>
      </c>
    </row>
    <row r="78" spans="1:23">
      <c r="A78" t="s">
        <v>532</v>
      </c>
    </row>
    <row r="79" spans="1:23">
      <c r="A79" t="s">
        <v>581</v>
      </c>
    </row>
    <row r="80" spans="1:23">
      <c r="A80" t="s">
        <v>597</v>
      </c>
      <c r="B80" s="422">
        <f>B33+B34</f>
        <v>0</v>
      </c>
      <c r="C80" s="422">
        <f>C33+C34</f>
        <v>813</v>
      </c>
      <c r="D80" s="422">
        <f t="shared" ref="D80:U80" si="4">D33+D34</f>
        <v>1301</v>
      </c>
      <c r="E80" s="422">
        <f t="shared" si="4"/>
        <v>780</v>
      </c>
      <c r="F80" s="422">
        <f t="shared" si="4"/>
        <v>468</v>
      </c>
      <c r="G80" s="422">
        <f t="shared" si="4"/>
        <v>468</v>
      </c>
      <c r="H80" s="422">
        <f t="shared" si="4"/>
        <v>234</v>
      </c>
      <c r="I80" s="422">
        <f t="shared" si="4"/>
        <v>0</v>
      </c>
      <c r="J80" s="422">
        <f t="shared" si="4"/>
        <v>0</v>
      </c>
      <c r="K80" s="422">
        <f t="shared" si="4"/>
        <v>0</v>
      </c>
      <c r="L80" s="422">
        <f t="shared" si="4"/>
        <v>0</v>
      </c>
      <c r="M80" s="422">
        <f t="shared" si="4"/>
        <v>0</v>
      </c>
      <c r="N80" s="422">
        <f t="shared" si="4"/>
        <v>0</v>
      </c>
      <c r="O80" s="422">
        <f t="shared" si="4"/>
        <v>0</v>
      </c>
      <c r="P80" s="422">
        <f t="shared" si="4"/>
        <v>0</v>
      </c>
      <c r="Q80" s="422">
        <f t="shared" si="4"/>
        <v>0</v>
      </c>
      <c r="R80" s="422">
        <f t="shared" si="4"/>
        <v>0</v>
      </c>
      <c r="S80" s="422">
        <f t="shared" si="4"/>
        <v>0</v>
      </c>
      <c r="T80" s="422">
        <f t="shared" si="4"/>
        <v>0</v>
      </c>
      <c r="U80" s="422">
        <f t="shared" si="4"/>
        <v>0</v>
      </c>
      <c r="W80" s="25"/>
    </row>
    <row r="81" spans="1:23">
      <c r="A81" t="s">
        <v>604</v>
      </c>
      <c r="B81" s="422">
        <f>B80+(B20*(18.28/19.82))</f>
        <v>0</v>
      </c>
      <c r="C81" s="422">
        <f>C80+(C20*(18.28/19.82))</f>
        <v>875.7164480322906</v>
      </c>
      <c r="D81" s="422">
        <f t="shared" ref="D81:U81" si="5">D80+(D20*(18.28/19.82))</f>
        <v>1365.561049445005</v>
      </c>
      <c r="E81" s="422">
        <f t="shared" si="5"/>
        <v>846.40565085771948</v>
      </c>
      <c r="F81" s="422">
        <f t="shared" si="5"/>
        <v>536.25025227043386</v>
      </c>
      <c r="G81" s="422">
        <f t="shared" si="5"/>
        <v>538.09485368314836</v>
      </c>
      <c r="H81" s="422">
        <f t="shared" si="5"/>
        <v>305.93945509586274</v>
      </c>
      <c r="I81" s="422">
        <f t="shared" si="5"/>
        <v>74.706357214934414</v>
      </c>
      <c r="J81" s="422">
        <f t="shared" si="5"/>
        <v>76.550958627648839</v>
      </c>
      <c r="K81" s="422">
        <f t="shared" si="5"/>
        <v>79.317860746720484</v>
      </c>
      <c r="L81" s="422">
        <f t="shared" si="5"/>
        <v>81.162462159434909</v>
      </c>
      <c r="M81" s="422">
        <f t="shared" si="5"/>
        <v>83.929364278506554</v>
      </c>
      <c r="N81" s="422">
        <f t="shared" si="5"/>
        <v>86.696266397578199</v>
      </c>
      <c r="O81" s="422">
        <f t="shared" si="5"/>
        <v>88.540867810292639</v>
      </c>
      <c r="P81" s="422">
        <f t="shared" si="5"/>
        <v>91.307769929364284</v>
      </c>
      <c r="Q81" s="422">
        <f t="shared" si="5"/>
        <v>94.074672048435929</v>
      </c>
      <c r="R81" s="422">
        <f t="shared" si="5"/>
        <v>96.841574167507574</v>
      </c>
      <c r="S81" s="422">
        <f t="shared" si="5"/>
        <v>100.53077699293642</v>
      </c>
      <c r="T81" s="422">
        <f t="shared" si="5"/>
        <v>103.29767911200807</v>
      </c>
      <c r="U81" s="422">
        <f t="shared" si="5"/>
        <v>106.06458123107971</v>
      </c>
      <c r="W81" s="25"/>
    </row>
    <row r="82" spans="1:23">
      <c r="A82" t="s">
        <v>605</v>
      </c>
      <c r="B82" s="422">
        <f>B80+B20</f>
        <v>0</v>
      </c>
      <c r="C82" s="422">
        <f>C80+C20</f>
        <v>881</v>
      </c>
      <c r="D82" s="422">
        <f t="shared" ref="D82:U82" si="6">D80+D20</f>
        <v>1371</v>
      </c>
      <c r="E82" s="422">
        <f t="shared" si="6"/>
        <v>852</v>
      </c>
      <c r="F82" s="422">
        <f t="shared" si="6"/>
        <v>542</v>
      </c>
      <c r="G82" s="422">
        <f t="shared" si="6"/>
        <v>544</v>
      </c>
      <c r="H82" s="422">
        <f t="shared" si="6"/>
        <v>312</v>
      </c>
      <c r="I82" s="422">
        <f t="shared" si="6"/>
        <v>81</v>
      </c>
      <c r="J82" s="422">
        <f t="shared" si="6"/>
        <v>83</v>
      </c>
      <c r="K82" s="422">
        <f t="shared" si="6"/>
        <v>86</v>
      </c>
      <c r="L82" s="422">
        <f t="shared" si="6"/>
        <v>88</v>
      </c>
      <c r="M82" s="422">
        <f t="shared" si="6"/>
        <v>91</v>
      </c>
      <c r="N82" s="422">
        <f t="shared" si="6"/>
        <v>94</v>
      </c>
      <c r="O82" s="422">
        <f t="shared" si="6"/>
        <v>96</v>
      </c>
      <c r="P82" s="422">
        <f t="shared" si="6"/>
        <v>99</v>
      </c>
      <c r="Q82" s="422">
        <f t="shared" si="6"/>
        <v>102</v>
      </c>
      <c r="R82" s="422">
        <f t="shared" si="6"/>
        <v>105</v>
      </c>
      <c r="S82" s="422">
        <f t="shared" si="6"/>
        <v>109</v>
      </c>
      <c r="T82" s="422">
        <f t="shared" si="6"/>
        <v>112</v>
      </c>
      <c r="U82" s="422">
        <f t="shared" si="6"/>
        <v>115</v>
      </c>
      <c r="W82" s="25"/>
    </row>
    <row r="83" spans="1:23">
      <c r="A83" t="s">
        <v>623</v>
      </c>
      <c r="B83" s="422">
        <f>B82+B22+B23+B24</f>
        <v>0</v>
      </c>
      <c r="C83" s="422">
        <f t="shared" ref="C83:U83" si="7">C82+C22+C23+C24+C31</f>
        <v>1114</v>
      </c>
      <c r="D83" s="422">
        <f t="shared" si="7"/>
        <v>1599</v>
      </c>
      <c r="E83" s="422">
        <f t="shared" si="7"/>
        <v>1074</v>
      </c>
      <c r="F83" s="422">
        <f t="shared" si="7"/>
        <v>757</v>
      </c>
      <c r="G83" s="422">
        <f t="shared" si="7"/>
        <v>753</v>
      </c>
      <c r="H83" s="422">
        <f t="shared" si="7"/>
        <v>514</v>
      </c>
      <c r="I83" s="422">
        <f t="shared" si="7"/>
        <v>275</v>
      </c>
      <c r="J83" s="422">
        <f t="shared" si="7"/>
        <v>270</v>
      </c>
      <c r="K83" s="422">
        <f t="shared" si="7"/>
        <v>264</v>
      </c>
      <c r="L83" s="422">
        <f t="shared" si="7"/>
        <v>257</v>
      </c>
      <c r="M83" s="422">
        <f t="shared" si="7"/>
        <v>250</v>
      </c>
      <c r="N83" s="422">
        <f t="shared" si="7"/>
        <v>242</v>
      </c>
      <c r="O83" s="422">
        <f t="shared" si="7"/>
        <v>233</v>
      </c>
      <c r="P83" s="422">
        <f t="shared" si="7"/>
        <v>224</v>
      </c>
      <c r="Q83" s="422">
        <f t="shared" si="7"/>
        <v>214</v>
      </c>
      <c r="R83" s="422">
        <f t="shared" si="7"/>
        <v>204</v>
      </c>
      <c r="S83" s="422">
        <f t="shared" si="7"/>
        <v>193</v>
      </c>
      <c r="T83" s="422">
        <f t="shared" si="7"/>
        <v>180</v>
      </c>
      <c r="U83" s="422">
        <f t="shared" si="7"/>
        <v>166</v>
      </c>
      <c r="W83" s="25"/>
    </row>
    <row r="84" spans="1:23">
      <c r="A84" t="s">
        <v>621</v>
      </c>
      <c r="B84" s="422">
        <f>B83+B38+B31</f>
        <v>0</v>
      </c>
      <c r="C84" s="422">
        <f t="shared" ref="C84:U84" si="8">C83+C38+C31</f>
        <v>1067</v>
      </c>
      <c r="D84" s="422">
        <f t="shared" si="8"/>
        <v>1369</v>
      </c>
      <c r="E84" s="422">
        <f t="shared" si="8"/>
        <v>1033</v>
      </c>
      <c r="F84" s="422">
        <f t="shared" si="8"/>
        <v>828</v>
      </c>
      <c r="G84" s="422">
        <f t="shared" si="8"/>
        <v>821</v>
      </c>
      <c r="H84" s="422">
        <f t="shared" si="8"/>
        <v>665</v>
      </c>
      <c r="I84" s="422">
        <f t="shared" si="8"/>
        <v>508</v>
      </c>
      <c r="J84" s="422">
        <f t="shared" si="8"/>
        <v>499</v>
      </c>
      <c r="K84" s="422">
        <f t="shared" si="8"/>
        <v>487</v>
      </c>
      <c r="L84" s="422">
        <f t="shared" si="8"/>
        <v>475</v>
      </c>
      <c r="M84" s="422">
        <f t="shared" si="8"/>
        <v>463</v>
      </c>
      <c r="N84" s="422">
        <f t="shared" si="8"/>
        <v>448</v>
      </c>
      <c r="O84" s="422">
        <f t="shared" si="8"/>
        <v>433</v>
      </c>
      <c r="P84" s="422">
        <f t="shared" si="8"/>
        <v>417</v>
      </c>
      <c r="Q84" s="422">
        <f t="shared" si="8"/>
        <v>399</v>
      </c>
      <c r="R84" s="422">
        <f t="shared" si="8"/>
        <v>381</v>
      </c>
      <c r="S84" s="422">
        <f t="shared" si="8"/>
        <v>361</v>
      </c>
      <c r="T84" s="422">
        <f t="shared" si="8"/>
        <v>338</v>
      </c>
      <c r="U84" s="422">
        <f t="shared" si="8"/>
        <v>314</v>
      </c>
      <c r="W84" s="25"/>
    </row>
    <row r="85" spans="1:23">
      <c r="A85" t="s">
        <v>622</v>
      </c>
      <c r="B85" s="422">
        <f>B84+B55-B56</f>
        <v>0</v>
      </c>
      <c r="C85" s="422">
        <f>C84+C55-C56</f>
        <v>799</v>
      </c>
      <c r="D85" s="422">
        <f t="shared" ref="D85:U85" si="9">D84+D55-D56</f>
        <v>923</v>
      </c>
      <c r="E85" s="422">
        <f t="shared" si="9"/>
        <v>782</v>
      </c>
      <c r="F85" s="422">
        <f t="shared" si="9"/>
        <v>696</v>
      </c>
      <c r="G85" s="422">
        <f t="shared" si="9"/>
        <v>692</v>
      </c>
      <c r="H85" s="422">
        <f t="shared" si="9"/>
        <v>626</v>
      </c>
      <c r="I85" s="422">
        <f t="shared" si="9"/>
        <v>559</v>
      </c>
      <c r="J85" s="422">
        <f t="shared" si="9"/>
        <v>554</v>
      </c>
      <c r="K85" s="422">
        <f t="shared" si="9"/>
        <v>545</v>
      </c>
      <c r="L85" s="422">
        <f t="shared" si="9"/>
        <v>537</v>
      </c>
      <c r="M85" s="422">
        <f t="shared" si="9"/>
        <v>530</v>
      </c>
      <c r="N85" s="422">
        <f t="shared" si="9"/>
        <v>519</v>
      </c>
      <c r="O85" s="422">
        <f t="shared" si="9"/>
        <v>509</v>
      </c>
      <c r="P85" s="422">
        <f t="shared" si="9"/>
        <v>498</v>
      </c>
      <c r="Q85" s="422">
        <f t="shared" si="9"/>
        <v>485</v>
      </c>
      <c r="R85" s="422">
        <f t="shared" si="9"/>
        <v>473</v>
      </c>
      <c r="S85" s="422">
        <f t="shared" si="9"/>
        <v>459</v>
      </c>
      <c r="T85" s="422">
        <f t="shared" si="9"/>
        <v>442</v>
      </c>
      <c r="U85" s="422">
        <f t="shared" si="9"/>
        <v>425</v>
      </c>
      <c r="W85" s="25"/>
    </row>
    <row r="86" spans="1:23">
      <c r="A86" t="s">
        <v>582</v>
      </c>
      <c r="B86" s="422">
        <f>B58</f>
        <v>-813</v>
      </c>
      <c r="C86" s="422">
        <f>C58</f>
        <v>275</v>
      </c>
      <c r="D86" s="422">
        <f t="shared" ref="D86:N86" si="10">D58</f>
        <v>455</v>
      </c>
      <c r="E86" s="422">
        <f t="shared" si="10"/>
        <v>261</v>
      </c>
      <c r="F86" s="422">
        <f t="shared" si="10"/>
        <v>145</v>
      </c>
      <c r="G86" s="422">
        <f t="shared" si="10"/>
        <v>143</v>
      </c>
      <c r="H86" s="422">
        <f t="shared" si="10"/>
        <v>55</v>
      </c>
      <c r="I86" s="422">
        <f t="shared" si="10"/>
        <v>-34</v>
      </c>
      <c r="J86" s="422">
        <f t="shared" si="10"/>
        <v>-36</v>
      </c>
      <c r="K86" s="422">
        <f t="shared" si="10"/>
        <v>-38</v>
      </c>
      <c r="L86" s="422">
        <f t="shared" si="10"/>
        <v>-40</v>
      </c>
      <c r="M86" s="422">
        <f t="shared" si="10"/>
        <v>-43</v>
      </c>
      <c r="N86" s="422">
        <f t="shared" si="10"/>
        <v>-46</v>
      </c>
      <c r="O86" s="422">
        <f>O58</f>
        <v>-49</v>
      </c>
      <c r="P86" s="422">
        <f>P58</f>
        <v>-53</v>
      </c>
      <c r="Q86" s="422">
        <f t="shared" ref="Q86:U86" si="11">Q58</f>
        <v>-57</v>
      </c>
      <c r="R86" s="422">
        <f t="shared" si="11"/>
        <v>-61</v>
      </c>
      <c r="S86" s="422">
        <f t="shared" si="11"/>
        <v>-66</v>
      </c>
      <c r="T86" s="422">
        <f t="shared" si="11"/>
        <v>-71</v>
      </c>
      <c r="U86" s="422">
        <f t="shared" si="11"/>
        <v>-77</v>
      </c>
      <c r="W86" s="25"/>
    </row>
    <row r="88" spans="1:23">
      <c r="A88" t="s">
        <v>586</v>
      </c>
      <c r="B88" s="448">
        <f>'Project LCA &amp; TEA'!D69</f>
        <v>5633999.9999999991</v>
      </c>
      <c r="C88" s="448">
        <f>B88</f>
        <v>5633999.9999999991</v>
      </c>
      <c r="D88" s="448">
        <f t="shared" ref="D88:U88" si="12">C88</f>
        <v>5633999.9999999991</v>
      </c>
      <c r="E88" s="448">
        <f t="shared" si="12"/>
        <v>5633999.9999999991</v>
      </c>
      <c r="F88" s="448">
        <f t="shared" si="12"/>
        <v>5633999.9999999991</v>
      </c>
      <c r="G88" s="448">
        <f t="shared" si="12"/>
        <v>5633999.9999999991</v>
      </c>
      <c r="H88" s="448">
        <f t="shared" si="12"/>
        <v>5633999.9999999991</v>
      </c>
      <c r="I88" s="448">
        <f t="shared" si="12"/>
        <v>5633999.9999999991</v>
      </c>
      <c r="J88" s="448">
        <f t="shared" si="12"/>
        <v>5633999.9999999991</v>
      </c>
      <c r="K88" s="448">
        <f t="shared" si="12"/>
        <v>5633999.9999999991</v>
      </c>
      <c r="L88" s="448">
        <f t="shared" si="12"/>
        <v>5633999.9999999991</v>
      </c>
      <c r="M88" s="448">
        <f t="shared" si="12"/>
        <v>5633999.9999999991</v>
      </c>
      <c r="N88" s="448">
        <f t="shared" si="12"/>
        <v>5633999.9999999991</v>
      </c>
      <c r="O88" s="448">
        <f t="shared" si="12"/>
        <v>5633999.9999999991</v>
      </c>
      <c r="P88" s="448">
        <f t="shared" si="12"/>
        <v>5633999.9999999991</v>
      </c>
      <c r="Q88" s="448">
        <f t="shared" si="12"/>
        <v>5633999.9999999991</v>
      </c>
      <c r="R88" s="448">
        <f t="shared" si="12"/>
        <v>5633999.9999999991</v>
      </c>
      <c r="S88" s="448">
        <f t="shared" si="12"/>
        <v>5633999.9999999991</v>
      </c>
      <c r="T88" s="448">
        <f t="shared" si="12"/>
        <v>5633999.9999999991</v>
      </c>
      <c r="U88" s="448">
        <f t="shared" si="12"/>
        <v>5633999.9999999991</v>
      </c>
    </row>
    <row r="90" spans="1:23">
      <c r="A90" s="469" t="s">
        <v>588</v>
      </c>
    </row>
    <row r="91" spans="1:23">
      <c r="A91" s="470" t="s">
        <v>597</v>
      </c>
      <c r="B91" s="471">
        <f t="shared" ref="B91:B96" si="13">B$17-B80</f>
        <v>0</v>
      </c>
      <c r="C91" s="471">
        <f t="shared" ref="C91:U91" si="14">C$17-C80</f>
        <v>-424</v>
      </c>
      <c r="D91" s="471">
        <f t="shared" si="14"/>
        <v>-908</v>
      </c>
      <c r="E91" s="471">
        <f t="shared" si="14"/>
        <v>-383</v>
      </c>
      <c r="F91" s="471">
        <f t="shared" si="14"/>
        <v>-67</v>
      </c>
      <c r="G91" s="471">
        <f t="shared" si="14"/>
        <v>-63</v>
      </c>
      <c r="H91" s="471">
        <f t="shared" si="14"/>
        <v>175</v>
      </c>
      <c r="I91" s="471">
        <f t="shared" si="14"/>
        <v>413</v>
      </c>
      <c r="J91" s="471">
        <f t="shared" si="14"/>
        <v>417</v>
      </c>
      <c r="K91" s="471">
        <f t="shared" si="14"/>
        <v>421</v>
      </c>
      <c r="L91" s="471">
        <f t="shared" si="14"/>
        <v>425</v>
      </c>
      <c r="M91" s="471">
        <f t="shared" si="14"/>
        <v>429</v>
      </c>
      <c r="N91" s="471">
        <f t="shared" si="14"/>
        <v>434</v>
      </c>
      <c r="O91" s="471">
        <f t="shared" si="14"/>
        <v>438</v>
      </c>
      <c r="P91" s="471">
        <f t="shared" si="14"/>
        <v>442</v>
      </c>
      <c r="Q91" s="471">
        <f t="shared" si="14"/>
        <v>447</v>
      </c>
      <c r="R91" s="471">
        <f t="shared" si="14"/>
        <v>451</v>
      </c>
      <c r="S91" s="471">
        <f t="shared" si="14"/>
        <v>456</v>
      </c>
      <c r="T91" s="471">
        <f t="shared" si="14"/>
        <v>460</v>
      </c>
      <c r="U91" s="471">
        <f t="shared" si="14"/>
        <v>465</v>
      </c>
    </row>
    <row r="92" spans="1:23">
      <c r="A92" s="470" t="s">
        <v>591</v>
      </c>
      <c r="B92" s="471">
        <f t="shared" si="13"/>
        <v>0</v>
      </c>
      <c r="C92" s="471">
        <f t="shared" ref="C92:U92" si="15">C$17-C81</f>
        <v>-486.7164480322906</v>
      </c>
      <c r="D92" s="471">
        <f t="shared" si="15"/>
        <v>-972.56104944500498</v>
      </c>
      <c r="E92" s="471">
        <f t="shared" si="15"/>
        <v>-449.40565085771948</v>
      </c>
      <c r="F92" s="471">
        <f t="shared" si="15"/>
        <v>-135.25025227043386</v>
      </c>
      <c r="G92" s="471">
        <f t="shared" si="15"/>
        <v>-133.09485368314836</v>
      </c>
      <c r="H92" s="471">
        <f t="shared" si="15"/>
        <v>103.06054490413726</v>
      </c>
      <c r="I92" s="471">
        <f t="shared" si="15"/>
        <v>338.29364278506557</v>
      </c>
      <c r="J92" s="471">
        <f t="shared" si="15"/>
        <v>340.44904137235119</v>
      </c>
      <c r="K92" s="471">
        <f t="shared" si="15"/>
        <v>341.6821392532795</v>
      </c>
      <c r="L92" s="471">
        <f t="shared" si="15"/>
        <v>343.83753784056512</v>
      </c>
      <c r="M92" s="471">
        <f t="shared" si="15"/>
        <v>345.07063572149343</v>
      </c>
      <c r="N92" s="471">
        <f t="shared" si="15"/>
        <v>347.3037336024218</v>
      </c>
      <c r="O92" s="471">
        <f t="shared" si="15"/>
        <v>349.45913218970736</v>
      </c>
      <c r="P92" s="471">
        <f t="shared" si="15"/>
        <v>350.69223007063573</v>
      </c>
      <c r="Q92" s="471">
        <f t="shared" si="15"/>
        <v>352.9253279515641</v>
      </c>
      <c r="R92" s="471">
        <f t="shared" si="15"/>
        <v>354.15842583249241</v>
      </c>
      <c r="S92" s="471">
        <f t="shared" si="15"/>
        <v>355.46922300706359</v>
      </c>
      <c r="T92" s="471">
        <f t="shared" si="15"/>
        <v>356.70232088799196</v>
      </c>
      <c r="U92" s="471">
        <f t="shared" si="15"/>
        <v>358.93541876892027</v>
      </c>
    </row>
    <row r="93" spans="1:23">
      <c r="A93" s="470" t="s">
        <v>592</v>
      </c>
      <c r="B93" s="471">
        <f t="shared" si="13"/>
        <v>0</v>
      </c>
      <c r="C93" s="471">
        <f t="shared" ref="C93:U93" si="16">C$17-C82</f>
        <v>-492</v>
      </c>
      <c r="D93" s="471">
        <f t="shared" si="16"/>
        <v>-978</v>
      </c>
      <c r="E93" s="471">
        <f t="shared" si="16"/>
        <v>-455</v>
      </c>
      <c r="F93" s="471">
        <f t="shared" si="16"/>
        <v>-141</v>
      </c>
      <c r="G93" s="471">
        <f t="shared" si="16"/>
        <v>-139</v>
      </c>
      <c r="H93" s="471">
        <f t="shared" si="16"/>
        <v>97</v>
      </c>
      <c r="I93" s="471">
        <f t="shared" si="16"/>
        <v>332</v>
      </c>
      <c r="J93" s="471">
        <f t="shared" si="16"/>
        <v>334</v>
      </c>
      <c r="K93" s="471">
        <f t="shared" si="16"/>
        <v>335</v>
      </c>
      <c r="L93" s="471">
        <f t="shared" si="16"/>
        <v>337</v>
      </c>
      <c r="M93" s="471">
        <f t="shared" si="16"/>
        <v>338</v>
      </c>
      <c r="N93" s="471">
        <f t="shared" si="16"/>
        <v>340</v>
      </c>
      <c r="O93" s="471">
        <f t="shared" si="16"/>
        <v>342</v>
      </c>
      <c r="P93" s="471">
        <f t="shared" si="16"/>
        <v>343</v>
      </c>
      <c r="Q93" s="471">
        <f t="shared" si="16"/>
        <v>345</v>
      </c>
      <c r="R93" s="471">
        <f t="shared" si="16"/>
        <v>346</v>
      </c>
      <c r="S93" s="471">
        <f t="shared" si="16"/>
        <v>347</v>
      </c>
      <c r="T93" s="471">
        <f t="shared" si="16"/>
        <v>348</v>
      </c>
      <c r="U93" s="471">
        <f t="shared" si="16"/>
        <v>350</v>
      </c>
    </row>
    <row r="94" spans="1:23">
      <c r="A94" s="470" t="s">
        <v>593</v>
      </c>
      <c r="B94" s="471">
        <f t="shared" si="13"/>
        <v>0</v>
      </c>
      <c r="C94" s="471">
        <f t="shared" ref="C94:U94" si="17">C$17-C83</f>
        <v>-725</v>
      </c>
      <c r="D94" s="471">
        <f t="shared" si="17"/>
        <v>-1206</v>
      </c>
      <c r="E94" s="471">
        <f t="shared" si="17"/>
        <v>-677</v>
      </c>
      <c r="F94" s="471">
        <f t="shared" si="17"/>
        <v>-356</v>
      </c>
      <c r="G94" s="471">
        <f t="shared" si="17"/>
        <v>-348</v>
      </c>
      <c r="H94" s="471">
        <f t="shared" si="17"/>
        <v>-105</v>
      </c>
      <c r="I94" s="471">
        <f t="shared" si="17"/>
        <v>138</v>
      </c>
      <c r="J94" s="471">
        <f t="shared" si="17"/>
        <v>147</v>
      </c>
      <c r="K94" s="471">
        <f t="shared" si="17"/>
        <v>157</v>
      </c>
      <c r="L94" s="471">
        <f t="shared" si="17"/>
        <v>168</v>
      </c>
      <c r="M94" s="471">
        <f t="shared" si="17"/>
        <v>179</v>
      </c>
      <c r="N94" s="471">
        <f t="shared" si="17"/>
        <v>192</v>
      </c>
      <c r="O94" s="471">
        <f t="shared" si="17"/>
        <v>205</v>
      </c>
      <c r="P94" s="471">
        <f t="shared" si="17"/>
        <v>218</v>
      </c>
      <c r="Q94" s="471">
        <f t="shared" si="17"/>
        <v>233</v>
      </c>
      <c r="R94" s="471">
        <f t="shared" si="17"/>
        <v>247</v>
      </c>
      <c r="S94" s="471">
        <f t="shared" si="17"/>
        <v>263</v>
      </c>
      <c r="T94" s="471">
        <f t="shared" si="17"/>
        <v>280</v>
      </c>
      <c r="U94" s="471">
        <f t="shared" si="17"/>
        <v>299</v>
      </c>
    </row>
    <row r="95" spans="1:23">
      <c r="A95" s="470" t="s">
        <v>594</v>
      </c>
      <c r="B95" s="471">
        <f t="shared" si="13"/>
        <v>0</v>
      </c>
      <c r="C95" s="471">
        <f t="shared" ref="C95:U95" si="18">C$17-C84</f>
        <v>-678</v>
      </c>
      <c r="D95" s="471">
        <f t="shared" si="18"/>
        <v>-976</v>
      </c>
      <c r="E95" s="471">
        <f t="shared" si="18"/>
        <v>-636</v>
      </c>
      <c r="F95" s="471">
        <f t="shared" si="18"/>
        <v>-427</v>
      </c>
      <c r="G95" s="471">
        <f t="shared" si="18"/>
        <v>-416</v>
      </c>
      <c r="H95" s="471">
        <f t="shared" si="18"/>
        <v>-256</v>
      </c>
      <c r="I95" s="471">
        <f t="shared" si="18"/>
        <v>-95</v>
      </c>
      <c r="J95" s="471">
        <f t="shared" si="18"/>
        <v>-82</v>
      </c>
      <c r="K95" s="471">
        <f t="shared" si="18"/>
        <v>-66</v>
      </c>
      <c r="L95" s="471">
        <f t="shared" si="18"/>
        <v>-50</v>
      </c>
      <c r="M95" s="471">
        <f t="shared" si="18"/>
        <v>-34</v>
      </c>
      <c r="N95" s="471">
        <f t="shared" si="18"/>
        <v>-14</v>
      </c>
      <c r="O95" s="471">
        <f t="shared" si="18"/>
        <v>5</v>
      </c>
      <c r="P95" s="471">
        <f t="shared" si="18"/>
        <v>25</v>
      </c>
      <c r="Q95" s="471">
        <f t="shared" si="18"/>
        <v>48</v>
      </c>
      <c r="R95" s="471">
        <f t="shared" si="18"/>
        <v>70</v>
      </c>
      <c r="S95" s="471">
        <f t="shared" si="18"/>
        <v>95</v>
      </c>
      <c r="T95" s="471">
        <f t="shared" si="18"/>
        <v>122</v>
      </c>
      <c r="U95" s="471">
        <f t="shared" si="18"/>
        <v>151</v>
      </c>
    </row>
    <row r="96" spans="1:23">
      <c r="A96" s="470" t="s">
        <v>595</v>
      </c>
      <c r="B96" s="471">
        <f t="shared" si="13"/>
        <v>0</v>
      </c>
      <c r="C96" s="471">
        <f t="shared" ref="C96:U96" si="19">C$17-C85</f>
        <v>-410</v>
      </c>
      <c r="D96" s="471">
        <f t="shared" si="19"/>
        <v>-530</v>
      </c>
      <c r="E96" s="471">
        <f t="shared" si="19"/>
        <v>-385</v>
      </c>
      <c r="F96" s="471">
        <f t="shared" si="19"/>
        <v>-295</v>
      </c>
      <c r="G96" s="471">
        <f t="shared" si="19"/>
        <v>-287</v>
      </c>
      <c r="H96" s="471">
        <f t="shared" si="19"/>
        <v>-217</v>
      </c>
      <c r="I96" s="471">
        <f t="shared" si="19"/>
        <v>-146</v>
      </c>
      <c r="J96" s="471">
        <f t="shared" si="19"/>
        <v>-137</v>
      </c>
      <c r="K96" s="471">
        <f t="shared" si="19"/>
        <v>-124</v>
      </c>
      <c r="L96" s="471">
        <f t="shared" si="19"/>
        <v>-112</v>
      </c>
      <c r="M96" s="471">
        <f t="shared" si="19"/>
        <v>-101</v>
      </c>
      <c r="N96" s="471">
        <f t="shared" si="19"/>
        <v>-85</v>
      </c>
      <c r="O96" s="471">
        <f t="shared" si="19"/>
        <v>-71</v>
      </c>
      <c r="P96" s="471">
        <f t="shared" si="19"/>
        <v>-56</v>
      </c>
      <c r="Q96" s="471">
        <f t="shared" si="19"/>
        <v>-38</v>
      </c>
      <c r="R96" s="471">
        <f t="shared" si="19"/>
        <v>-22</v>
      </c>
      <c r="S96" s="471">
        <f t="shared" si="19"/>
        <v>-3</v>
      </c>
      <c r="T96" s="471">
        <f t="shared" si="19"/>
        <v>18</v>
      </c>
      <c r="U96" s="471">
        <f t="shared" si="19"/>
        <v>40</v>
      </c>
    </row>
    <row r="97" spans="1:21">
      <c r="A97" t="s">
        <v>582</v>
      </c>
      <c r="B97" s="422">
        <f>B86</f>
        <v>-813</v>
      </c>
      <c r="C97" s="422">
        <f t="shared" ref="C97:U97" si="20">C86</f>
        <v>275</v>
      </c>
      <c r="D97" s="422">
        <f t="shared" si="20"/>
        <v>455</v>
      </c>
      <c r="E97" s="422">
        <f t="shared" si="20"/>
        <v>261</v>
      </c>
      <c r="F97" s="422">
        <f t="shared" si="20"/>
        <v>145</v>
      </c>
      <c r="G97" s="422">
        <f t="shared" si="20"/>
        <v>143</v>
      </c>
      <c r="H97" s="422">
        <f t="shared" si="20"/>
        <v>55</v>
      </c>
      <c r="I97" s="422">
        <f t="shared" si="20"/>
        <v>-34</v>
      </c>
      <c r="J97" s="422">
        <f t="shared" si="20"/>
        <v>-36</v>
      </c>
      <c r="K97" s="422">
        <f t="shared" si="20"/>
        <v>-38</v>
      </c>
      <c r="L97" s="422">
        <f t="shared" si="20"/>
        <v>-40</v>
      </c>
      <c r="M97" s="422">
        <f t="shared" si="20"/>
        <v>-43</v>
      </c>
      <c r="N97" s="422">
        <f t="shared" si="20"/>
        <v>-46</v>
      </c>
      <c r="O97" s="422">
        <f t="shared" si="20"/>
        <v>-49</v>
      </c>
      <c r="P97" s="422">
        <f t="shared" si="20"/>
        <v>-53</v>
      </c>
      <c r="Q97" s="422">
        <f t="shared" si="20"/>
        <v>-57</v>
      </c>
      <c r="R97" s="422">
        <f t="shared" si="20"/>
        <v>-61</v>
      </c>
      <c r="S97" s="422">
        <f t="shared" si="20"/>
        <v>-66</v>
      </c>
      <c r="T97" s="422">
        <f t="shared" si="20"/>
        <v>-71</v>
      </c>
      <c r="U97" s="422">
        <f t="shared" si="20"/>
        <v>-77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6"/>
  <dimension ref="A1:R54"/>
  <sheetViews>
    <sheetView topLeftCell="A21" zoomScale="85" zoomScaleNormal="85" workbookViewId="0">
      <selection activeCell="E45" sqref="E45"/>
    </sheetView>
  </sheetViews>
  <sheetFormatPr defaultRowHeight="15"/>
  <cols>
    <col min="1" max="1" width="58.140625" customWidth="1"/>
    <col min="3" max="4" width="12.42578125" customWidth="1"/>
    <col min="5" max="5" width="12" style="6" customWidth="1"/>
    <col min="6" max="6" width="11.5703125" style="6" customWidth="1"/>
    <col min="7" max="7" width="10.7109375" customWidth="1"/>
    <col min="8" max="8" width="5.28515625" customWidth="1"/>
    <col min="9" max="12" width="15.5703125" customWidth="1"/>
    <col min="13" max="13" width="17.28515625" customWidth="1"/>
    <col min="15" max="15" width="9.140625" style="6"/>
    <col min="16" max="16" width="12.140625" style="6" customWidth="1"/>
    <col min="17" max="17" width="26" style="6" customWidth="1"/>
  </cols>
  <sheetData>
    <row r="1" spans="1:14">
      <c r="A1" s="3" t="s">
        <v>265</v>
      </c>
      <c r="B1" s="201" t="s">
        <v>264</v>
      </c>
      <c r="C1" s="157"/>
    </row>
    <row r="2" spans="1:14">
      <c r="B2" s="202" t="s">
        <v>266</v>
      </c>
      <c r="C2" s="202"/>
    </row>
    <row r="3" spans="1:14" ht="47.25" customHeight="1">
      <c r="A3" s="7" t="s">
        <v>8</v>
      </c>
      <c r="B3" s="7" t="s">
        <v>0</v>
      </c>
      <c r="C3" s="7" t="s">
        <v>6</v>
      </c>
      <c r="D3" s="8"/>
      <c r="E3" s="8" t="s">
        <v>34</v>
      </c>
      <c r="F3" s="7" t="s">
        <v>35</v>
      </c>
      <c r="G3" s="8"/>
      <c r="H3" s="8"/>
      <c r="I3" s="7"/>
      <c r="J3" s="7"/>
      <c r="K3" s="7"/>
      <c r="L3" s="8"/>
      <c r="M3" s="7"/>
      <c r="N3" s="8"/>
    </row>
    <row r="4" spans="1:14">
      <c r="A4" s="199" t="s">
        <v>253</v>
      </c>
      <c r="B4" s="199" t="s">
        <v>227</v>
      </c>
      <c r="C4" s="200" t="s">
        <v>254</v>
      </c>
      <c r="D4" s="8"/>
      <c r="E4" s="6">
        <v>0</v>
      </c>
      <c r="F4" s="13">
        <f>-C48</f>
        <v>-3635621.4355153013</v>
      </c>
      <c r="G4" s="16">
        <f t="shared" ref="G4:G24" si="0">F4/(1+$F$28)^E4</f>
        <v>-3635621.4355153013</v>
      </c>
      <c r="H4" s="8"/>
      <c r="I4" s="7"/>
      <c r="J4" s="7"/>
      <c r="K4" s="7"/>
      <c r="L4" s="8"/>
      <c r="M4" s="7"/>
      <c r="N4" s="8"/>
    </row>
    <row r="5" spans="1:14">
      <c r="A5" t="s">
        <v>39</v>
      </c>
      <c r="B5" t="s">
        <v>9</v>
      </c>
      <c r="C5" s="201">
        <v>5634000</v>
      </c>
      <c r="E5" s="6">
        <v>1</v>
      </c>
      <c r="F5" s="13">
        <f t="shared" ref="F5:F24" si="1">$C$49/$C$6</f>
        <v>5634000</v>
      </c>
      <c r="G5" s="16">
        <f t="shared" si="0"/>
        <v>2209700.9465321922</v>
      </c>
      <c r="K5" s="6"/>
    </row>
    <row r="6" spans="1:14">
      <c r="A6" t="s">
        <v>10</v>
      </c>
      <c r="B6" t="s">
        <v>11</v>
      </c>
      <c r="C6">
        <v>20</v>
      </c>
      <c r="E6" s="6">
        <v>2</v>
      </c>
      <c r="F6" s="13">
        <f t="shared" si="1"/>
        <v>5634000</v>
      </c>
      <c r="G6" s="16">
        <f t="shared" si="0"/>
        <v>866662.81027782511</v>
      </c>
      <c r="K6" s="6"/>
    </row>
    <row r="7" spans="1:14">
      <c r="A7" t="s">
        <v>13</v>
      </c>
      <c r="B7" t="s">
        <v>14</v>
      </c>
      <c r="C7">
        <v>1</v>
      </c>
      <c r="E7" s="6">
        <v>3</v>
      </c>
      <c r="F7" s="13">
        <f t="shared" si="1"/>
        <v>5634000</v>
      </c>
      <c r="G7" s="16">
        <f t="shared" si="0"/>
        <v>339912.25278579345</v>
      </c>
      <c r="K7" s="6"/>
    </row>
    <row r="8" spans="1:14">
      <c r="A8" t="s">
        <v>37</v>
      </c>
      <c r="B8" t="s">
        <v>38</v>
      </c>
      <c r="E8" s="6">
        <v>4</v>
      </c>
      <c r="F8" s="13">
        <f t="shared" si="1"/>
        <v>5634000</v>
      </c>
      <c r="G8" s="16">
        <f t="shared" si="0"/>
        <v>133316.36966962327</v>
      </c>
      <c r="K8" s="6"/>
    </row>
    <row r="9" spans="1:14">
      <c r="A9" t="s">
        <v>47</v>
      </c>
      <c r="B9" t="s">
        <v>48</v>
      </c>
      <c r="C9" s="14">
        <f>(C5/1000)/(C4*8760)</f>
        <v>0.32157534246575342</v>
      </c>
      <c r="D9" s="10"/>
      <c r="E9" s="6">
        <v>5</v>
      </c>
      <c r="F9" s="13">
        <f t="shared" si="1"/>
        <v>5634000</v>
      </c>
      <c r="G9" s="16">
        <f t="shared" si="0"/>
        <v>52287.77214185342</v>
      </c>
      <c r="H9" s="10"/>
      <c r="I9" s="10"/>
      <c r="J9" s="10"/>
      <c r="K9" s="10"/>
      <c r="L9" s="10"/>
      <c r="M9" s="10"/>
      <c r="N9" s="10"/>
    </row>
    <row r="10" spans="1:14">
      <c r="A10" s="10" t="s">
        <v>15</v>
      </c>
      <c r="B10" s="10" t="s">
        <v>0</v>
      </c>
      <c r="C10" s="10" t="s">
        <v>6</v>
      </c>
      <c r="D10" s="10"/>
      <c r="E10" s="6">
        <v>6</v>
      </c>
      <c r="F10" s="13">
        <f t="shared" si="1"/>
        <v>5634000</v>
      </c>
      <c r="G10" s="16">
        <f t="shared" si="0"/>
        <v>20507.692508681772</v>
      </c>
      <c r="I10" s="10"/>
      <c r="J10" s="10"/>
      <c r="K10" s="10"/>
      <c r="L10" s="10"/>
    </row>
    <row r="11" spans="1:14">
      <c r="A11" t="s">
        <v>2</v>
      </c>
      <c r="B11" t="s">
        <v>5</v>
      </c>
      <c r="C11" s="1">
        <v>96700</v>
      </c>
      <c r="D11" s="1"/>
      <c r="E11" s="6">
        <v>7</v>
      </c>
      <c r="F11" s="13">
        <f t="shared" si="1"/>
        <v>5634000</v>
      </c>
      <c r="G11" s="16">
        <f t="shared" si="0"/>
        <v>8043.2849747293694</v>
      </c>
      <c r="K11" s="6"/>
    </row>
    <row r="12" spans="1:14">
      <c r="A12" t="s">
        <v>1</v>
      </c>
      <c r="B12" t="s">
        <v>5</v>
      </c>
      <c r="C12" s="1">
        <v>79400</v>
      </c>
      <c r="E12" s="6">
        <v>8</v>
      </c>
      <c r="F12" s="13">
        <f t="shared" si="1"/>
        <v>5634000</v>
      </c>
      <c r="G12" s="16">
        <f t="shared" si="0"/>
        <v>3154.6422474063984</v>
      </c>
      <c r="K12" s="6"/>
    </row>
    <row r="13" spans="1:14">
      <c r="A13" t="s">
        <v>3</v>
      </c>
      <c r="B13" t="s">
        <v>5</v>
      </c>
      <c r="C13" s="1">
        <v>51500</v>
      </c>
      <c r="E13" s="6">
        <v>9</v>
      </c>
      <c r="F13" s="13">
        <f t="shared" si="1"/>
        <v>5634000</v>
      </c>
      <c r="G13" s="16">
        <f t="shared" si="0"/>
        <v>1237.2765282329358</v>
      </c>
      <c r="K13" s="6"/>
    </row>
    <row r="14" spans="1:14">
      <c r="A14" t="s">
        <v>4</v>
      </c>
      <c r="B14" t="s">
        <v>5</v>
      </c>
      <c r="C14" s="1">
        <v>62200</v>
      </c>
      <c r="E14" s="6">
        <v>10</v>
      </c>
      <c r="F14" s="13">
        <f t="shared" si="1"/>
        <v>5634000</v>
      </c>
      <c r="G14" s="16">
        <f t="shared" si="0"/>
        <v>485.26998856201334</v>
      </c>
      <c r="K14" s="6"/>
    </row>
    <row r="15" spans="1:14">
      <c r="E15" s="6">
        <v>11</v>
      </c>
      <c r="F15" s="13">
        <f t="shared" si="1"/>
        <v>5634000</v>
      </c>
      <c r="G15" s="16">
        <f t="shared" si="0"/>
        <v>190.3268642259757</v>
      </c>
      <c r="H15" s="6"/>
      <c r="M15" s="6"/>
      <c r="N15" s="6"/>
    </row>
    <row r="16" spans="1:14">
      <c r="A16" s="10" t="s">
        <v>16</v>
      </c>
      <c r="B16" s="5" t="s">
        <v>0</v>
      </c>
      <c r="C16" s="6"/>
      <c r="D16" s="6"/>
      <c r="E16" s="6">
        <v>12</v>
      </c>
      <c r="F16" s="13">
        <f t="shared" si="1"/>
        <v>5634000</v>
      </c>
      <c r="G16" s="16">
        <f t="shared" si="0"/>
        <v>74.647755064011804</v>
      </c>
      <c r="I16" s="6"/>
      <c r="J16" s="6"/>
      <c r="K16" s="6"/>
      <c r="L16" s="6"/>
    </row>
    <row r="17" spans="1:18">
      <c r="A17" t="s">
        <v>2</v>
      </c>
      <c r="B17" t="s">
        <v>5</v>
      </c>
      <c r="C17" s="1">
        <v>0</v>
      </c>
      <c r="E17" s="6">
        <v>13</v>
      </c>
      <c r="F17" s="13">
        <f t="shared" si="1"/>
        <v>5634000</v>
      </c>
      <c r="G17" s="16">
        <f t="shared" si="0"/>
        <v>29.277460955173964</v>
      </c>
    </row>
    <row r="18" spans="1:18">
      <c r="A18" t="s">
        <v>1</v>
      </c>
      <c r="B18" t="s">
        <v>5</v>
      </c>
      <c r="C18" s="1">
        <v>10700</v>
      </c>
      <c r="E18" s="6">
        <v>14</v>
      </c>
      <c r="F18" s="13">
        <f t="shared" si="1"/>
        <v>5634000</v>
      </c>
      <c r="G18" s="16">
        <f t="shared" si="0"/>
        <v>11.482859990185876</v>
      </c>
    </row>
    <row r="19" spans="1:18">
      <c r="A19" t="s">
        <v>3</v>
      </c>
      <c r="B19" t="s">
        <v>5</v>
      </c>
      <c r="C19" s="1">
        <v>430</v>
      </c>
      <c r="E19" s="6">
        <v>15</v>
      </c>
      <c r="F19" s="13">
        <f t="shared" si="1"/>
        <v>5634000</v>
      </c>
      <c r="G19" s="16">
        <f t="shared" si="0"/>
        <v>4.5036717410739033</v>
      </c>
    </row>
    <row r="20" spans="1:18">
      <c r="A20" t="s">
        <v>4</v>
      </c>
      <c r="B20" t="s">
        <v>5</v>
      </c>
      <c r="C20" s="1">
        <v>302</v>
      </c>
      <c r="E20" s="6">
        <v>16</v>
      </c>
      <c r="F20" s="13">
        <f t="shared" si="1"/>
        <v>5634000</v>
      </c>
      <c r="G20" s="16">
        <f t="shared" si="0"/>
        <v>1.7663769451759479</v>
      </c>
    </row>
    <row r="21" spans="1:18">
      <c r="E21" s="6">
        <v>17</v>
      </c>
      <c r="F21" s="13">
        <f t="shared" si="1"/>
        <v>5634000</v>
      </c>
      <c r="G21" s="16">
        <f t="shared" si="0"/>
        <v>0.69278750580190529</v>
      </c>
      <c r="H21" s="6"/>
      <c r="M21" s="6"/>
      <c r="N21" s="6"/>
    </row>
    <row r="22" spans="1:18">
      <c r="A22" s="10" t="s">
        <v>7</v>
      </c>
      <c r="B22" s="5" t="s">
        <v>0</v>
      </c>
      <c r="C22" s="6"/>
      <c r="D22" s="6"/>
      <c r="E22" s="6">
        <v>18</v>
      </c>
      <c r="F22" s="13">
        <f t="shared" si="1"/>
        <v>5634000</v>
      </c>
      <c r="G22" s="16">
        <f t="shared" si="0"/>
        <v>0.27171693420591886</v>
      </c>
      <c r="I22" s="6"/>
      <c r="J22" s="6"/>
      <c r="K22" s="6"/>
      <c r="L22" s="13"/>
    </row>
    <row r="23" spans="1:18">
      <c r="A23" t="s">
        <v>2</v>
      </c>
      <c r="B23" t="s">
        <v>5</v>
      </c>
      <c r="C23" s="1">
        <f>C11*$C$7+C17</f>
        <v>96700</v>
      </c>
      <c r="D23" s="1"/>
      <c r="E23" s="6">
        <v>19</v>
      </c>
      <c r="F23" s="13">
        <f t="shared" si="1"/>
        <v>5634000</v>
      </c>
      <c r="G23" s="16">
        <f t="shared" si="0"/>
        <v>0.1065696071536465</v>
      </c>
      <c r="L23" s="1"/>
    </row>
    <row r="24" spans="1:18">
      <c r="A24" t="s">
        <v>1</v>
      </c>
      <c r="B24" t="s">
        <v>5</v>
      </c>
      <c r="C24" s="1">
        <f>C12*$C$7+C18</f>
        <v>90100</v>
      </c>
      <c r="E24" s="6">
        <v>20</v>
      </c>
      <c r="F24" s="13">
        <f t="shared" si="1"/>
        <v>5634000</v>
      </c>
      <c r="G24" s="16">
        <f t="shared" si="0"/>
        <v>4.1797472807770068E-2</v>
      </c>
      <c r="L24" s="1"/>
    </row>
    <row r="25" spans="1:18">
      <c r="A25" t="s">
        <v>3</v>
      </c>
      <c r="B25" t="s">
        <v>5</v>
      </c>
      <c r="C25" s="1">
        <f>C13*$C$7+C19</f>
        <v>51930</v>
      </c>
      <c r="F25" s="13"/>
      <c r="G25" s="16"/>
    </row>
    <row r="26" spans="1:18">
      <c r="A26" t="s">
        <v>4</v>
      </c>
      <c r="B26" t="s">
        <v>5</v>
      </c>
      <c r="C26" s="1">
        <f>C14*$C$7+C20</f>
        <v>62502</v>
      </c>
      <c r="E26" s="5" t="s">
        <v>36</v>
      </c>
      <c r="F26" s="17">
        <f>SUM(F4:F25)</f>
        <v>109044378.5644847</v>
      </c>
      <c r="G26" s="17">
        <f>SUM(G4:G24)</f>
        <v>4.0165600616315356E-8</v>
      </c>
      <c r="H26" t="s">
        <v>268</v>
      </c>
    </row>
    <row r="27" spans="1:18">
      <c r="E27" s="5" t="s">
        <v>40</v>
      </c>
      <c r="F27" s="203">
        <f>-SUM(F5:F25)/F4</f>
        <v>30.993325900013321</v>
      </c>
      <c r="G27" s="6"/>
    </row>
    <row r="28" spans="1:18" ht="15.75" thickBot="1">
      <c r="E28" s="6" t="s">
        <v>33</v>
      </c>
      <c r="F28" s="204">
        <f>IRR(F4:F24)</f>
        <v>1.5496662835039974</v>
      </c>
      <c r="G28" s="19" t="s">
        <v>267</v>
      </c>
      <c r="O28" s="11"/>
      <c r="P28" s="11"/>
      <c r="Q28" s="11"/>
    </row>
    <row r="29" spans="1:18" ht="15.75" thickBot="1">
      <c r="F29" s="24"/>
      <c r="I29" s="480" t="s">
        <v>269</v>
      </c>
      <c r="J29" s="481"/>
      <c r="K29" s="481"/>
      <c r="L29" s="482"/>
      <c r="M29" s="9"/>
      <c r="N29" s="9"/>
      <c r="R29" s="9"/>
    </row>
    <row r="30" spans="1:18" ht="67.5" customHeight="1" thickBot="1">
      <c r="A30" s="216" t="s">
        <v>41</v>
      </c>
      <c r="B30" s="216" t="s">
        <v>0</v>
      </c>
      <c r="C30" s="247" t="s">
        <v>255</v>
      </c>
      <c r="D30" s="246" t="s">
        <v>19</v>
      </c>
      <c r="E30" s="247" t="s">
        <v>0</v>
      </c>
      <c r="F30" s="246" t="s">
        <v>280</v>
      </c>
      <c r="G30" s="217"/>
      <c r="H30" s="217"/>
      <c r="I30" s="454" t="s">
        <v>256</v>
      </c>
      <c r="J30" s="455" t="s">
        <v>257</v>
      </c>
      <c r="K30" s="455" t="s">
        <v>258</v>
      </c>
      <c r="L30" s="456" t="s">
        <v>259</v>
      </c>
      <c r="M30" s="359" t="s">
        <v>596</v>
      </c>
    </row>
    <row r="31" spans="1:18">
      <c r="A31" s="234" t="s">
        <v>2</v>
      </c>
      <c r="B31" s="208" t="s">
        <v>17</v>
      </c>
      <c r="C31" s="218">
        <f>L31/1000</f>
        <v>1.966E-2</v>
      </c>
      <c r="D31" s="237" t="s">
        <v>20</v>
      </c>
      <c r="E31" s="251" t="s">
        <v>12</v>
      </c>
      <c r="F31" s="248">
        <f>C31*$C$5*$C$6</f>
        <v>2215288.7999999998</v>
      </c>
      <c r="G31" s="231"/>
      <c r="H31" s="222"/>
      <c r="I31" s="240">
        <v>18.11</v>
      </c>
      <c r="J31" s="209">
        <v>1.55</v>
      </c>
      <c r="K31" s="209">
        <v>0</v>
      </c>
      <c r="L31" s="210">
        <f>SUM(I31:K31)*$M$31</f>
        <v>19.66</v>
      </c>
      <c r="M31" s="453">
        <v>1</v>
      </c>
    </row>
    <row r="32" spans="1:18">
      <c r="A32" s="235" t="s">
        <v>1</v>
      </c>
      <c r="B32" s="211" t="s">
        <v>17</v>
      </c>
      <c r="C32" s="219">
        <f t="shared" ref="C32:C41" si="2">L32/1000</f>
        <v>5.3570000000000007E-2</v>
      </c>
      <c r="D32" s="238" t="s">
        <v>20</v>
      </c>
      <c r="E32" s="252" t="s">
        <v>12</v>
      </c>
      <c r="F32" s="249">
        <f t="shared" ref="F32:F41" si="3">C32*$C$5*$C$6</f>
        <v>6036267.6000000015</v>
      </c>
      <c r="G32" s="232"/>
      <c r="H32" s="223"/>
      <c r="I32" s="241">
        <v>46.56</v>
      </c>
      <c r="J32" s="205">
        <v>6.45</v>
      </c>
      <c r="K32" s="205">
        <v>0.56000000000000005</v>
      </c>
      <c r="L32" s="212">
        <f t="shared" ref="L32:L40" si="4">SUM(I32:K32)*$M$31</f>
        <v>53.570000000000007</v>
      </c>
      <c r="M32" s="452">
        <v>1.55</v>
      </c>
    </row>
    <row r="33" spans="1:13">
      <c r="A33" s="235" t="s">
        <v>260</v>
      </c>
      <c r="B33" s="211" t="s">
        <v>17</v>
      </c>
      <c r="C33" s="219">
        <f t="shared" si="2"/>
        <v>3.9500000228000001E-3</v>
      </c>
      <c r="D33" s="238" t="s">
        <v>20</v>
      </c>
      <c r="E33" s="252" t="s">
        <v>12</v>
      </c>
      <c r="F33" s="249">
        <f t="shared" si="3"/>
        <v>445086.00256910402</v>
      </c>
      <c r="G33" s="232"/>
      <c r="H33" s="223"/>
      <c r="I33" s="241">
        <v>3.48</v>
      </c>
      <c r="J33" s="205">
        <v>0.47</v>
      </c>
      <c r="K33" s="206">
        <v>2.2799999999999999E-8</v>
      </c>
      <c r="L33" s="212">
        <f t="shared" si="4"/>
        <v>3.9500000228000003</v>
      </c>
      <c r="M33" s="452">
        <v>0.77500000000000002</v>
      </c>
    </row>
    <row r="34" spans="1:13">
      <c r="A34" s="235" t="s">
        <v>4</v>
      </c>
      <c r="B34" s="211" t="s">
        <v>17</v>
      </c>
      <c r="C34" s="219">
        <f t="shared" si="2"/>
        <v>1.436E-2</v>
      </c>
      <c r="D34" s="238" t="s">
        <v>20</v>
      </c>
      <c r="E34" s="252" t="s">
        <v>12</v>
      </c>
      <c r="F34" s="249">
        <f t="shared" si="3"/>
        <v>1618084.7999999998</v>
      </c>
      <c r="G34" s="232"/>
      <c r="H34" s="223"/>
      <c r="I34" s="241">
        <v>13.33</v>
      </c>
      <c r="J34" s="205">
        <v>0.99</v>
      </c>
      <c r="K34" s="205">
        <v>0.04</v>
      </c>
      <c r="L34" s="212">
        <f t="shared" si="4"/>
        <v>14.36</v>
      </c>
    </row>
    <row r="35" spans="1:13">
      <c r="A35" s="235" t="s">
        <v>18</v>
      </c>
      <c r="B35" s="211" t="s">
        <v>17</v>
      </c>
      <c r="C35" s="219">
        <f t="shared" si="2"/>
        <v>3.4800372000000001E-3</v>
      </c>
      <c r="D35" s="238" t="s">
        <v>20</v>
      </c>
      <c r="E35" s="252" t="s">
        <v>12</v>
      </c>
      <c r="F35" s="249">
        <f t="shared" si="3"/>
        <v>392130.59169600008</v>
      </c>
      <c r="G35" s="232"/>
      <c r="H35" s="223"/>
      <c r="I35" s="241">
        <v>3.08</v>
      </c>
      <c r="J35" s="205">
        <v>0.4</v>
      </c>
      <c r="K35" s="206">
        <v>3.7200000000000003E-5</v>
      </c>
      <c r="L35" s="212">
        <f t="shared" si="4"/>
        <v>3.4800371999999999</v>
      </c>
    </row>
    <row r="36" spans="1:13">
      <c r="A36" s="235" t="s">
        <v>261</v>
      </c>
      <c r="B36" s="211" t="s">
        <v>17</v>
      </c>
      <c r="C36" s="219">
        <f t="shared" si="2"/>
        <v>6.9999999999999996E-10</v>
      </c>
      <c r="D36" s="238" t="s">
        <v>21</v>
      </c>
      <c r="E36" s="252" t="s">
        <v>12</v>
      </c>
      <c r="F36" s="249">
        <f t="shared" si="3"/>
        <v>7.8876000000000002E-2</v>
      </c>
      <c r="G36" s="232"/>
      <c r="H36" s="223"/>
      <c r="I36" s="242">
        <v>6.9999999999999997E-7</v>
      </c>
      <c r="J36" s="205">
        <v>0</v>
      </c>
      <c r="K36" s="205">
        <v>0</v>
      </c>
      <c r="L36" s="212">
        <f t="shared" si="4"/>
        <v>6.9999999999999997E-7</v>
      </c>
    </row>
    <row r="37" spans="1:13">
      <c r="A37" s="235" t="s">
        <v>262</v>
      </c>
      <c r="B37" s="211" t="s">
        <v>17</v>
      </c>
      <c r="C37" s="219">
        <f t="shared" si="2"/>
        <v>5.8100000000000006E-10</v>
      </c>
      <c r="D37" s="238" t="s">
        <v>21</v>
      </c>
      <c r="E37" s="252" t="s">
        <v>12</v>
      </c>
      <c r="F37" s="249">
        <f t="shared" si="3"/>
        <v>6.5467080000000011E-2</v>
      </c>
      <c r="G37" s="232"/>
      <c r="H37" s="223"/>
      <c r="I37" s="243">
        <v>5.8100000000000003E-7</v>
      </c>
      <c r="J37" s="205">
        <v>0</v>
      </c>
      <c r="K37" s="206">
        <v>0</v>
      </c>
      <c r="L37" s="212">
        <f t="shared" si="4"/>
        <v>5.8100000000000003E-7</v>
      </c>
    </row>
    <row r="38" spans="1:13">
      <c r="A38" s="235" t="s">
        <v>263</v>
      </c>
      <c r="B38" s="211" t="s">
        <v>17</v>
      </c>
      <c r="C38" s="219">
        <f t="shared" si="2"/>
        <v>5.1400004030000002E-4</v>
      </c>
      <c r="D38" s="238" t="s">
        <v>21</v>
      </c>
      <c r="E38" s="252" t="s">
        <v>12</v>
      </c>
      <c r="F38" s="249">
        <f t="shared" si="3"/>
        <v>57917.524541004008</v>
      </c>
      <c r="G38" s="232"/>
      <c r="H38" s="223"/>
      <c r="I38" s="243">
        <v>0.48</v>
      </c>
      <c r="J38" s="206">
        <v>3.4000000000000002E-2</v>
      </c>
      <c r="K38" s="206">
        <v>4.0299999999999997E-8</v>
      </c>
      <c r="L38" s="212">
        <f t="shared" si="4"/>
        <v>0.51400004030000002</v>
      </c>
    </row>
    <row r="39" spans="1:13">
      <c r="A39" s="235" t="s">
        <v>22</v>
      </c>
      <c r="B39" s="211" t="s">
        <v>17</v>
      </c>
      <c r="C39" s="219">
        <f t="shared" si="2"/>
        <v>2.0290000000000002E-2</v>
      </c>
      <c r="D39" s="238" t="s">
        <v>21</v>
      </c>
      <c r="E39" s="252" t="s">
        <v>12</v>
      </c>
      <c r="F39" s="249">
        <f t="shared" si="3"/>
        <v>2286277.2000000002</v>
      </c>
      <c r="G39" s="232"/>
      <c r="H39" s="223"/>
      <c r="I39" s="244">
        <v>19.510000000000002</v>
      </c>
      <c r="J39" s="207">
        <v>0.78</v>
      </c>
      <c r="K39" s="207">
        <v>0</v>
      </c>
      <c r="L39" s="212">
        <f t="shared" si="4"/>
        <v>20.290000000000003</v>
      </c>
    </row>
    <row r="40" spans="1:13">
      <c r="A40" s="235" t="s">
        <v>23</v>
      </c>
      <c r="B40" s="211" t="s">
        <v>17</v>
      </c>
      <c r="C40" s="219">
        <f t="shared" si="2"/>
        <v>3.3E-4</v>
      </c>
      <c r="D40" s="238" t="s">
        <v>21</v>
      </c>
      <c r="E40" s="252" t="s">
        <v>12</v>
      </c>
      <c r="F40" s="249">
        <f t="shared" si="3"/>
        <v>37184.400000000001</v>
      </c>
      <c r="G40" s="232"/>
      <c r="H40" s="223"/>
      <c r="I40" s="241">
        <v>0.33</v>
      </c>
      <c r="J40" s="207" t="s">
        <v>46</v>
      </c>
      <c r="K40" s="207" t="s">
        <v>46</v>
      </c>
      <c r="L40" s="212">
        <f t="shared" si="4"/>
        <v>0.33</v>
      </c>
    </row>
    <row r="41" spans="1:13" ht="15.75" thickBot="1">
      <c r="A41" s="236" t="s">
        <v>24</v>
      </c>
      <c r="B41" s="213" t="s">
        <v>17</v>
      </c>
      <c r="C41" s="221">
        <f t="shared" si="2"/>
        <v>0</v>
      </c>
      <c r="D41" s="239" t="s">
        <v>21</v>
      </c>
      <c r="E41" s="253" t="s">
        <v>12</v>
      </c>
      <c r="F41" s="250">
        <f t="shared" si="3"/>
        <v>0</v>
      </c>
      <c r="G41" s="233"/>
      <c r="H41" s="224"/>
      <c r="I41" s="245" t="s">
        <v>46</v>
      </c>
      <c r="J41" s="214" t="s">
        <v>46</v>
      </c>
      <c r="K41" s="214" t="s">
        <v>46</v>
      </c>
      <c r="L41" s="215">
        <f>SUM(I41:K41)*$M$31</f>
        <v>0</v>
      </c>
    </row>
    <row r="42" spans="1:13" ht="15.75" thickBot="1">
      <c r="C42" s="1"/>
      <c r="F42" s="13"/>
    </row>
    <row r="43" spans="1:13">
      <c r="A43" s="208" t="s">
        <v>42</v>
      </c>
      <c r="B43" s="222"/>
      <c r="C43" s="225">
        <v>0.11616</v>
      </c>
    </row>
    <row r="44" spans="1:13">
      <c r="A44" s="211" t="s">
        <v>25</v>
      </c>
      <c r="B44" s="223"/>
      <c r="C44" s="226">
        <f>SUM(C31:C41)</f>
        <v>0.1161540385441</v>
      </c>
    </row>
    <row r="45" spans="1:13">
      <c r="A45" s="211" t="s">
        <v>44</v>
      </c>
      <c r="B45" s="223"/>
      <c r="C45" s="227">
        <f>SUM(F31:F41)</f>
        <v>13088237.06314919</v>
      </c>
      <c r="D45" s="383"/>
    </row>
    <row r="46" spans="1:13">
      <c r="A46" s="211" t="s">
        <v>43</v>
      </c>
      <c r="B46" s="223"/>
      <c r="C46" s="228"/>
    </row>
    <row r="47" spans="1:13">
      <c r="A47" s="211" t="s">
        <v>26</v>
      </c>
      <c r="B47" s="223"/>
      <c r="C47" s="226">
        <f>C44*0.2777778</f>
        <v>3.2265013287895307E-2</v>
      </c>
      <c r="D47" s="1"/>
    </row>
    <row r="48" spans="1:13">
      <c r="A48" s="211" t="s">
        <v>389</v>
      </c>
      <c r="B48" s="223"/>
      <c r="C48" s="227">
        <f>C45*0.27777778</f>
        <v>3635621.4355153013</v>
      </c>
      <c r="D48" s="386" t="s">
        <v>398</v>
      </c>
      <c r="E48" s="385"/>
      <c r="F48" s="385"/>
      <c r="G48" s="384"/>
    </row>
    <row r="49" spans="1:9">
      <c r="A49" s="211" t="s">
        <v>27</v>
      </c>
      <c r="B49" s="223"/>
      <c r="C49" s="227">
        <f>C5*C6</f>
        <v>112680000</v>
      </c>
    </row>
    <row r="50" spans="1:9">
      <c r="A50" s="220" t="s">
        <v>28</v>
      </c>
      <c r="B50" s="223"/>
      <c r="C50" s="229">
        <f>1/C47</f>
        <v>30.993323668494028</v>
      </c>
    </row>
    <row r="51" spans="1:9">
      <c r="A51" s="220" t="s">
        <v>29</v>
      </c>
      <c r="B51" s="223"/>
      <c r="C51" s="229">
        <f>C49/C48</f>
        <v>30.993325900013321</v>
      </c>
    </row>
    <row r="52" spans="1:9">
      <c r="A52" s="211" t="s">
        <v>31</v>
      </c>
      <c r="B52" s="223"/>
      <c r="C52" s="227">
        <f>SUM(F31:F35)</f>
        <v>10706857.794265104</v>
      </c>
      <c r="F52" s="13"/>
      <c r="I52" s="14"/>
    </row>
    <row r="53" spans="1:9">
      <c r="A53" s="211" t="s">
        <v>30</v>
      </c>
      <c r="B53" s="223"/>
      <c r="C53" s="227">
        <f>SUM(F36:F41)</f>
        <v>2381379.2688840842</v>
      </c>
      <c r="F53" s="13"/>
    </row>
    <row r="54" spans="1:9" ht="15.75" thickBot="1">
      <c r="A54" s="213" t="s">
        <v>32</v>
      </c>
      <c r="B54" s="224"/>
      <c r="C54" s="230">
        <f>C52+C53</f>
        <v>13088237.063149188</v>
      </c>
      <c r="G54" s="1"/>
    </row>
  </sheetData>
  <mergeCells count="1">
    <mergeCell ref="I29:L29"/>
  </mergeCells>
  <phoneticPr fontId="45"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8"/>
  <dimension ref="A1:K66"/>
  <sheetViews>
    <sheetView topLeftCell="A7" workbookViewId="0">
      <selection activeCell="F23" sqref="F23"/>
    </sheetView>
  </sheetViews>
  <sheetFormatPr defaultRowHeight="15"/>
  <cols>
    <col min="1" max="1" width="33.28515625" customWidth="1"/>
    <col min="2" max="2" width="14.140625" customWidth="1"/>
    <col min="3" max="3" width="13.140625" customWidth="1"/>
    <col min="4" max="4" width="11.85546875" customWidth="1"/>
    <col min="5" max="5" width="15.85546875" customWidth="1"/>
    <col min="6" max="6" width="15.5703125" customWidth="1"/>
    <col min="7" max="7" width="13.140625" customWidth="1"/>
    <col min="8" max="8" width="14" customWidth="1"/>
    <col min="9" max="9" width="12.28515625" customWidth="1"/>
    <col min="10" max="10" width="23" customWidth="1"/>
    <col min="11" max="11" width="20.7109375" customWidth="1"/>
    <col min="12" max="12" width="18.5703125" customWidth="1"/>
  </cols>
  <sheetData>
    <row r="1" spans="1:11">
      <c r="A1" t="s">
        <v>62</v>
      </c>
    </row>
    <row r="2" spans="1:11">
      <c r="B2" s="257">
        <f>'LCA Vestas Onshore 2.0MW'!C9</f>
        <v>0.32157534246575342</v>
      </c>
      <c r="C2" t="s">
        <v>272</v>
      </c>
    </row>
    <row r="3" spans="1:11">
      <c r="A3" s="9"/>
      <c r="B3" s="35" t="s">
        <v>63</v>
      </c>
      <c r="C3" s="9"/>
      <c r="D3" s="9"/>
      <c r="E3" s="9"/>
      <c r="F3" s="9"/>
      <c r="G3" s="9"/>
    </row>
    <row r="4" spans="1:11" ht="62.25" customHeight="1">
      <c r="A4" s="10" t="s">
        <v>64</v>
      </c>
      <c r="B4" s="10" t="str">
        <f>'LCA Vestas Onshore 2.0MW'!B30</f>
        <v>Units</v>
      </c>
      <c r="C4" s="378" t="str">
        <f>'LCA Vestas Onshore 2.0MW'!C30</f>
        <v>Total Vestas LCA Values</v>
      </c>
      <c r="D4" s="10" t="str">
        <f>'LCA Vestas Onshore 2.0MW'!D30</f>
        <v>Fossil or Renewable</v>
      </c>
      <c r="E4" s="10" t="s">
        <v>281</v>
      </c>
      <c r="F4" s="10" t="s">
        <v>282</v>
      </c>
      <c r="G4" s="10" t="s">
        <v>283</v>
      </c>
      <c r="H4" s="10" t="s">
        <v>65</v>
      </c>
      <c r="I4" s="10" t="s">
        <v>284</v>
      </c>
      <c r="J4" s="10" t="s">
        <v>276</v>
      </c>
    </row>
    <row r="5" spans="1:11" ht="15" customHeight="1">
      <c r="A5" t="str">
        <f>'LCA Vestas Onshore 2.0MW'!A31</f>
        <v>Hard coal</v>
      </c>
      <c r="B5" s="11" t="str">
        <f>'LCA Vestas Onshore 2.0MW'!B31</f>
        <v>MJ/kWh</v>
      </c>
      <c r="C5" s="1">
        <f>'LCA Vestas Onshore 2.0MW'!C31</f>
        <v>1.966E-2</v>
      </c>
      <c r="D5" s="11" t="str">
        <f>'LCA Vestas Onshore 2.0MW'!D31</f>
        <v>Fossil</v>
      </c>
      <c r="E5" s="36">
        <f>'LCA Vestas Onshore 2.0MW'!F31</f>
        <v>2215288.7999999998</v>
      </c>
      <c r="F5" s="37">
        <f>E5/1055</f>
        <v>2099.7998104265403</v>
      </c>
      <c r="G5" s="254">
        <f>E5*0.2777778</f>
        <v>615358.04922864004</v>
      </c>
      <c r="H5">
        <v>2.4700000000000002</v>
      </c>
      <c r="I5" s="38">
        <f t="shared" ref="I5:I15" si="0">F5*H5</f>
        <v>5186.5055317535553</v>
      </c>
      <c r="K5" s="188"/>
    </row>
    <row r="6" spans="1:11" ht="15" customHeight="1">
      <c r="A6" t="str">
        <f>'LCA Vestas Onshore 2.0MW'!A32</f>
        <v>Crude oil</v>
      </c>
      <c r="B6" s="11" t="str">
        <f>'LCA Vestas Onshore 2.0MW'!B32</f>
        <v>MJ/kWh</v>
      </c>
      <c r="C6" s="1">
        <f>'LCA Vestas Onshore 2.0MW'!C32</f>
        <v>5.3570000000000007E-2</v>
      </c>
      <c r="D6" s="11" t="str">
        <f>'LCA Vestas Onshore 2.0MW'!D32</f>
        <v>Fossil</v>
      </c>
      <c r="E6" s="36">
        <f>'LCA Vestas Onshore 2.0MW'!F32</f>
        <v>6036267.6000000015</v>
      </c>
      <c r="F6" s="37">
        <f t="shared" ref="F6:F15" si="1">E6/1055</f>
        <v>5721.5806635071103</v>
      </c>
      <c r="G6" s="254">
        <f t="shared" ref="G6:G15" si="2">E6*0.2777778</f>
        <v>1676741.1341392805</v>
      </c>
      <c r="H6">
        <v>12.9</v>
      </c>
      <c r="I6" s="38">
        <f t="shared" si="0"/>
        <v>73808.390559241729</v>
      </c>
    </row>
    <row r="7" spans="1:11" ht="15" customHeight="1">
      <c r="A7" t="str">
        <f>'LCA Vestas Onshore 2.0MW'!A33</f>
        <v>Lignite (brown coal)</v>
      </c>
      <c r="B7" s="11" t="str">
        <f>'LCA Vestas Onshore 2.0MW'!B33</f>
        <v>MJ/kWh</v>
      </c>
      <c r="C7" s="1">
        <f>'LCA Vestas Onshore 2.0MW'!C33</f>
        <v>3.9500000228000001E-3</v>
      </c>
      <c r="D7" s="11" t="str">
        <f>'LCA Vestas Onshore 2.0MW'!D33</f>
        <v>Fossil</v>
      </c>
      <c r="E7" s="36">
        <f>'LCA Vestas Onshore 2.0MW'!F33</f>
        <v>445086.00256910402</v>
      </c>
      <c r="F7" s="37">
        <f t="shared" si="1"/>
        <v>421.88246689014596</v>
      </c>
      <c r="G7" s="254">
        <f t="shared" si="2"/>
        <v>123635.01060444007</v>
      </c>
      <c r="H7">
        <v>2</v>
      </c>
      <c r="I7" s="38">
        <f t="shared" si="0"/>
        <v>843.76493378029193</v>
      </c>
    </row>
    <row r="8" spans="1:11" ht="15" customHeight="1">
      <c r="A8" t="str">
        <f>'LCA Vestas Onshore 2.0MW'!A34</f>
        <v>Natural Gas</v>
      </c>
      <c r="B8" s="11" t="str">
        <f>'LCA Vestas Onshore 2.0MW'!B34</f>
        <v>MJ/kWh</v>
      </c>
      <c r="C8" s="1">
        <f>'LCA Vestas Onshore 2.0MW'!C34</f>
        <v>1.436E-2</v>
      </c>
      <c r="D8" s="11" t="str">
        <f>'LCA Vestas Onshore 2.0MW'!D34</f>
        <v>Fossil</v>
      </c>
      <c r="E8" s="36">
        <f>'LCA Vestas Onshore 2.0MW'!F34</f>
        <v>1618084.7999999998</v>
      </c>
      <c r="F8" s="37">
        <f t="shared" si="1"/>
        <v>1533.7296682464453</v>
      </c>
      <c r="G8" s="254">
        <f t="shared" si="2"/>
        <v>449468.03595743998</v>
      </c>
      <c r="H8">
        <v>6.55</v>
      </c>
      <c r="I8" s="38">
        <f t="shared" si="0"/>
        <v>10045.929327014217</v>
      </c>
    </row>
    <row r="9" spans="1:11" ht="15" customHeight="1">
      <c r="A9" t="str">
        <f>'LCA Vestas Onshore 2.0MW'!A35</f>
        <v>Nuclear Power</v>
      </c>
      <c r="B9" s="11" t="str">
        <f>'LCA Vestas Onshore 2.0MW'!B35</f>
        <v>MJ/kWh</v>
      </c>
      <c r="C9" s="1">
        <f>'LCA Vestas Onshore 2.0MW'!C35</f>
        <v>3.4800372000000001E-3</v>
      </c>
      <c r="D9" s="11" t="str">
        <f>'LCA Vestas Onshore 2.0MW'!D35</f>
        <v>Fossil</v>
      </c>
      <c r="E9" s="36">
        <f>'LCA Vestas Onshore 2.0MW'!F35</f>
        <v>392130.59169600008</v>
      </c>
      <c r="F9" s="37">
        <f t="shared" si="1"/>
        <v>371.68776464075836</v>
      </c>
      <c r="G9" s="254">
        <f t="shared" si="2"/>
        <v>108925.17307401318</v>
      </c>
      <c r="H9">
        <v>22.84</v>
      </c>
      <c r="I9" s="38">
        <f t="shared" si="0"/>
        <v>8489.3485443949212</v>
      </c>
      <c r="J9" s="2" t="s">
        <v>279</v>
      </c>
    </row>
    <row r="10" spans="1:11" ht="15" customHeight="1">
      <c r="A10" t="str">
        <f>'LCA Vestas Onshore 2.0MW'!A36</f>
        <v>Straw</v>
      </c>
      <c r="B10" s="11" t="str">
        <f>'LCA Vestas Onshore 2.0MW'!B36</f>
        <v>MJ/kWh</v>
      </c>
      <c r="C10" s="1">
        <f>'LCA Vestas Onshore 2.0MW'!C36</f>
        <v>6.9999999999999996E-10</v>
      </c>
      <c r="D10" s="11" t="str">
        <f>'LCA Vestas Onshore 2.0MW'!D36</f>
        <v>Renewable</v>
      </c>
      <c r="E10" s="36">
        <f>'LCA Vestas Onshore 2.0MW'!F36</f>
        <v>7.8876000000000002E-2</v>
      </c>
      <c r="F10" s="37">
        <f t="shared" si="1"/>
        <v>7.476398104265403E-5</v>
      </c>
      <c r="G10" s="254">
        <f t="shared" si="2"/>
        <v>2.1910001752800001E-2</v>
      </c>
      <c r="H10">
        <v>1</v>
      </c>
      <c r="I10" s="38">
        <f t="shared" si="0"/>
        <v>7.476398104265403E-5</v>
      </c>
    </row>
    <row r="11" spans="1:11" ht="15" customHeight="1">
      <c r="A11" t="str">
        <f>'LCA Vestas Onshore 2.0MW'!A37</f>
        <v>Wood</v>
      </c>
      <c r="B11" s="11" t="str">
        <f>'LCA Vestas Onshore 2.0MW'!B37</f>
        <v>MJ/kWh</v>
      </c>
      <c r="C11" s="1">
        <f>'LCA Vestas Onshore 2.0MW'!C37</f>
        <v>5.8100000000000006E-10</v>
      </c>
      <c r="D11" s="11" t="str">
        <f>'LCA Vestas Onshore 2.0MW'!D37</f>
        <v>Renewable</v>
      </c>
      <c r="E11" s="36">
        <f>'LCA Vestas Onshore 2.0MW'!F37</f>
        <v>6.5467080000000011E-2</v>
      </c>
      <c r="F11" s="37">
        <f t="shared" si="1"/>
        <v>6.2054104265402856E-5</v>
      </c>
      <c r="G11" s="254">
        <f t="shared" si="2"/>
        <v>1.8185301454824006E-2</v>
      </c>
      <c r="H11">
        <v>1</v>
      </c>
      <c r="I11" s="38">
        <f t="shared" si="0"/>
        <v>6.2054104265402856E-5</v>
      </c>
    </row>
    <row r="12" spans="1:11" ht="15" customHeight="1">
      <c r="A12" t="str">
        <f>'LCA Vestas Onshore 2.0MW'!A38</f>
        <v>Other Biomass</v>
      </c>
      <c r="B12" s="11" t="str">
        <f>'LCA Vestas Onshore 2.0MW'!B38</f>
        <v>MJ/kWh</v>
      </c>
      <c r="C12" s="1">
        <f>'LCA Vestas Onshore 2.0MW'!C38</f>
        <v>5.1400004030000002E-4</v>
      </c>
      <c r="D12" s="11" t="str">
        <f>'LCA Vestas Onshore 2.0MW'!D38</f>
        <v>Renewable</v>
      </c>
      <c r="E12" s="36">
        <f>'LCA Vestas Onshore 2.0MW'!F38</f>
        <v>57917.524541004008</v>
      </c>
      <c r="F12" s="37">
        <f t="shared" si="1"/>
        <v>54.898127527018019</v>
      </c>
      <c r="G12" s="254">
        <f t="shared" si="2"/>
        <v>16088.202548446105</v>
      </c>
      <c r="H12">
        <v>1</v>
      </c>
      <c r="I12" s="38">
        <f t="shared" si="0"/>
        <v>54.898127527018019</v>
      </c>
    </row>
    <row r="13" spans="1:11" ht="15" customHeight="1">
      <c r="A13" t="str">
        <f>'LCA Vestas Onshore 2.0MW'!A39</f>
        <v>Primary energy from Hydropower</v>
      </c>
      <c r="B13" s="11" t="str">
        <f>'LCA Vestas Onshore 2.0MW'!B39</f>
        <v>MJ/kWh</v>
      </c>
      <c r="C13" s="1">
        <f>'LCA Vestas Onshore 2.0MW'!C39</f>
        <v>2.0290000000000002E-2</v>
      </c>
      <c r="D13" s="11" t="str">
        <f>'LCA Vestas Onshore 2.0MW'!D39</f>
        <v>Renewable</v>
      </c>
      <c r="E13" s="36">
        <f>'LCA Vestas Onshore 2.0MW'!F39</f>
        <v>2286277.2000000002</v>
      </c>
      <c r="F13" s="37">
        <f t="shared" si="1"/>
        <v>2167.0873933649291</v>
      </c>
      <c r="G13" s="254">
        <f t="shared" si="2"/>
        <v>635077.05080616008</v>
      </c>
      <c r="H13">
        <v>22.84</v>
      </c>
      <c r="I13" s="38">
        <f t="shared" si="0"/>
        <v>49496.276064454978</v>
      </c>
      <c r="J13" s="2" t="s">
        <v>278</v>
      </c>
    </row>
    <row r="14" spans="1:11" ht="15" customHeight="1">
      <c r="A14" t="str">
        <f>'LCA Vestas Onshore 2.0MW'!A40</f>
        <v>Primary energy from wind</v>
      </c>
      <c r="B14" s="11" t="str">
        <f>'LCA Vestas Onshore 2.0MW'!B40</f>
        <v>MJ/kWh</v>
      </c>
      <c r="C14" s="1">
        <f>'LCA Vestas Onshore 2.0MW'!C40</f>
        <v>3.3E-4</v>
      </c>
      <c r="D14" s="11" t="str">
        <f>'LCA Vestas Onshore 2.0MW'!D40</f>
        <v>Renewable</v>
      </c>
      <c r="E14" s="36">
        <f>'LCA Vestas Onshore 2.0MW'!F40</f>
        <v>37184.400000000001</v>
      </c>
      <c r="F14" s="37">
        <f t="shared" si="1"/>
        <v>35.245876777251183</v>
      </c>
      <c r="G14" s="254">
        <f t="shared" si="2"/>
        <v>10329.000826320002</v>
      </c>
      <c r="H14">
        <v>1</v>
      </c>
      <c r="I14" s="38">
        <f t="shared" si="0"/>
        <v>35.245876777251183</v>
      </c>
      <c r="J14" s="2" t="s">
        <v>277</v>
      </c>
    </row>
    <row r="15" spans="1:11" ht="15" customHeight="1">
      <c r="A15" t="str">
        <f>'LCA Vestas Onshore 2.0MW'!A41</f>
        <v>Renewable Fuels</v>
      </c>
      <c r="B15" s="11" t="str">
        <f>'LCA Vestas Onshore 2.0MW'!B41</f>
        <v>MJ/kWh</v>
      </c>
      <c r="C15" s="1">
        <f>'LCA Vestas Onshore 2.0MW'!C41</f>
        <v>0</v>
      </c>
      <c r="D15" s="11" t="str">
        <f>'LCA Vestas Onshore 2.0MW'!D41</f>
        <v>Renewable</v>
      </c>
      <c r="E15" s="36">
        <f>'LCA Vestas Onshore 2.0MW'!F41</f>
        <v>0</v>
      </c>
      <c r="F15" s="37">
        <f t="shared" si="1"/>
        <v>0</v>
      </c>
      <c r="G15" s="254">
        <f t="shared" si="2"/>
        <v>0</v>
      </c>
      <c r="H15">
        <v>1</v>
      </c>
      <c r="I15" s="38">
        <f t="shared" si="0"/>
        <v>0</v>
      </c>
    </row>
    <row r="16" spans="1:11" ht="15" customHeight="1">
      <c r="D16" s="39" t="s">
        <v>270</v>
      </c>
      <c r="E16" s="255">
        <f>SUM(E5:E15)</f>
        <v>13088237.06314919</v>
      </c>
      <c r="F16" s="255">
        <f>SUM(F5:F15)</f>
        <v>12405.911908198283</v>
      </c>
      <c r="G16" s="255">
        <f>SUM(G5:G15)</f>
        <v>3635621.6972800433</v>
      </c>
      <c r="H16" s="256"/>
      <c r="I16" s="40">
        <f>SUM(I5:I15)</f>
        <v>147960.35910176206</v>
      </c>
      <c r="J16" s="41" t="s">
        <v>271</v>
      </c>
      <c r="K16" s="41"/>
    </row>
    <row r="17" spans="1:11">
      <c r="A17" t="s">
        <v>66</v>
      </c>
      <c r="J17" s="41"/>
      <c r="K17" s="41"/>
    </row>
    <row r="18" spans="1:11">
      <c r="A18" t="s">
        <v>67</v>
      </c>
      <c r="I18" s="38">
        <f>I16/2000</f>
        <v>73.980179550881033</v>
      </c>
      <c r="J18" t="s">
        <v>626</v>
      </c>
    </row>
    <row r="19" spans="1:11">
      <c r="A19" t="s">
        <v>68</v>
      </c>
    </row>
    <row r="20" spans="1:11">
      <c r="A20" t="s">
        <v>69</v>
      </c>
    </row>
    <row r="21" spans="1:11" ht="15.75" thickBot="1">
      <c r="A21" t="s">
        <v>70</v>
      </c>
    </row>
    <row r="22" spans="1:11" ht="45.75" customHeight="1" thickBot="1">
      <c r="A22" s="510" t="s">
        <v>632</v>
      </c>
      <c r="B22" s="506" t="s">
        <v>634</v>
      </c>
      <c r="C22" s="496" t="s">
        <v>633</v>
      </c>
      <c r="D22" s="497" t="s">
        <v>635</v>
      </c>
      <c r="E22" s="493"/>
    </row>
    <row r="23" spans="1:11">
      <c r="A23" s="511" t="str">
        <f>A5</f>
        <v>Hard coal</v>
      </c>
      <c r="B23" s="507">
        <f>E5</f>
        <v>2215288.7999999998</v>
      </c>
      <c r="C23" s="498">
        <f>G5</f>
        <v>615358.04922864004</v>
      </c>
      <c r="D23" s="499">
        <f>H5/1055*1000</f>
        <v>2.3412322274881521</v>
      </c>
    </row>
    <row r="24" spans="1:11">
      <c r="A24" s="512" t="str">
        <f t="shared" ref="A24:A33" si="3">A6</f>
        <v>Crude oil</v>
      </c>
      <c r="B24" s="508">
        <f t="shared" ref="B24:B32" si="4">E6</f>
        <v>6036267.6000000015</v>
      </c>
      <c r="C24" s="494">
        <f t="shared" ref="C24:C32" si="5">G6</f>
        <v>1676741.1341392805</v>
      </c>
      <c r="D24" s="500">
        <f t="shared" ref="D24:D32" si="6">H6/1055*1000</f>
        <v>12.227488151658768</v>
      </c>
    </row>
    <row r="25" spans="1:11">
      <c r="A25" s="512" t="str">
        <f t="shared" si="3"/>
        <v>Lignite (brown coal)</v>
      </c>
      <c r="B25" s="508">
        <f t="shared" si="4"/>
        <v>445086.00256910402</v>
      </c>
      <c r="C25" s="494">
        <f t="shared" si="5"/>
        <v>123635.01060444007</v>
      </c>
      <c r="D25" s="500">
        <f t="shared" si="6"/>
        <v>1.8957345971563981</v>
      </c>
    </row>
    <row r="26" spans="1:11">
      <c r="A26" s="512" t="str">
        <f t="shared" si="3"/>
        <v>Natural Gas</v>
      </c>
      <c r="B26" s="508">
        <f t="shared" si="4"/>
        <v>1618084.7999999998</v>
      </c>
      <c r="C26" s="494">
        <f t="shared" si="5"/>
        <v>449468.03595743998</v>
      </c>
      <c r="D26" s="500">
        <f t="shared" si="6"/>
        <v>6.2085308056872037</v>
      </c>
    </row>
    <row r="27" spans="1:11">
      <c r="A27" s="512" t="str">
        <f t="shared" si="3"/>
        <v>Nuclear Power</v>
      </c>
      <c r="B27" s="508">
        <f t="shared" si="4"/>
        <v>392130.59169600008</v>
      </c>
      <c r="C27" s="494">
        <f t="shared" si="5"/>
        <v>108925.17307401318</v>
      </c>
      <c r="D27" s="500">
        <f t="shared" si="6"/>
        <v>21.649289099526065</v>
      </c>
    </row>
    <row r="28" spans="1:11">
      <c r="A28" s="512" t="str">
        <f t="shared" si="3"/>
        <v>Straw</v>
      </c>
      <c r="B28" s="508">
        <f t="shared" si="4"/>
        <v>7.8876000000000002E-2</v>
      </c>
      <c r="C28" s="494">
        <f t="shared" si="5"/>
        <v>2.1910001752800001E-2</v>
      </c>
      <c r="D28" s="500">
        <f t="shared" si="6"/>
        <v>0.94786729857819907</v>
      </c>
    </row>
    <row r="29" spans="1:11">
      <c r="A29" s="512" t="str">
        <f t="shared" si="3"/>
        <v>Wood</v>
      </c>
      <c r="B29" s="508">
        <f t="shared" si="4"/>
        <v>6.5467080000000011E-2</v>
      </c>
      <c r="C29" s="494">
        <f t="shared" si="5"/>
        <v>1.8185301454824006E-2</v>
      </c>
      <c r="D29" s="500">
        <f t="shared" si="6"/>
        <v>0.94786729857819907</v>
      </c>
    </row>
    <row r="30" spans="1:11">
      <c r="A30" s="512" t="str">
        <f t="shared" si="3"/>
        <v>Other Biomass</v>
      </c>
      <c r="B30" s="508">
        <f t="shared" si="4"/>
        <v>57917.524541004008</v>
      </c>
      <c r="C30" s="494">
        <f t="shared" si="5"/>
        <v>16088.202548446105</v>
      </c>
      <c r="D30" s="500">
        <f t="shared" si="6"/>
        <v>0.94786729857819907</v>
      </c>
    </row>
    <row r="31" spans="1:11">
      <c r="A31" s="512" t="str">
        <f t="shared" si="3"/>
        <v>Primary energy from Hydropower</v>
      </c>
      <c r="B31" s="508">
        <f t="shared" si="4"/>
        <v>2286277.2000000002</v>
      </c>
      <c r="C31" s="494">
        <f t="shared" si="5"/>
        <v>635077.05080616008</v>
      </c>
      <c r="D31" s="500">
        <f t="shared" si="6"/>
        <v>21.649289099526065</v>
      </c>
    </row>
    <row r="32" spans="1:11" ht="15.75" thickBot="1">
      <c r="A32" s="513" t="str">
        <f t="shared" si="3"/>
        <v>Primary energy from wind</v>
      </c>
      <c r="B32" s="509">
        <f t="shared" si="4"/>
        <v>37184.400000000001</v>
      </c>
      <c r="C32" s="501">
        <f t="shared" si="5"/>
        <v>10329.000826320002</v>
      </c>
      <c r="D32" s="502">
        <f t="shared" si="6"/>
        <v>0.94786729857819907</v>
      </c>
    </row>
    <row r="33" spans="1:11" ht="15.75" thickBot="1">
      <c r="A33" s="495"/>
      <c r="B33" s="503"/>
      <c r="C33" s="504" t="s">
        <v>636</v>
      </c>
      <c r="D33" s="505">
        <f>I16</f>
        <v>147960.35910176206</v>
      </c>
    </row>
    <row r="36" spans="1:11">
      <c r="A36" t="s">
        <v>71</v>
      </c>
    </row>
    <row r="38" spans="1:11" ht="45">
      <c r="A38" s="42" t="str">
        <f>[4]FinancialCalcs!A3</f>
        <v>Year</v>
      </c>
      <c r="B38" s="43" t="str">
        <f>[4]FinancialCalcs!B3</f>
        <v>Electricity Output in kWh</v>
      </c>
      <c r="C38" s="43" t="str">
        <f>[4]FinancialCalcs!C3</f>
        <v>Market Price in $/kWh</v>
      </c>
      <c r="D38" s="43" t="str">
        <f>[4]FinancialCalcs!D3</f>
        <v>Mkt Value of Output</v>
      </c>
      <c r="E38" s="43" t="s">
        <v>72</v>
      </c>
      <c r="F38" s="43" t="str">
        <f>[4]FinancialCalcs!H3</f>
        <v>Ovearall Cash Flow, including Investment Cost</v>
      </c>
      <c r="G38" s="43"/>
      <c r="I38" s="9"/>
      <c r="J38" s="9"/>
      <c r="K38" s="9"/>
    </row>
    <row r="39" spans="1:11">
      <c r="A39" s="278">
        <f>FinancialCalcs!A4</f>
        <v>0</v>
      </c>
      <c r="B39" s="4">
        <f>FinancialCalcs!B4</f>
        <v>-3635621.4355153013</v>
      </c>
      <c r="C39" s="38">
        <f>FinancialCalcs!D4</f>
        <v>0</v>
      </c>
      <c r="D39" s="27">
        <f>FinancialCalcs!E4</f>
        <v>0</v>
      </c>
      <c r="E39" s="38">
        <f>I16</f>
        <v>147960.35910176206</v>
      </c>
      <c r="F39" s="38">
        <f>-1*E39</f>
        <v>-147960.35910176206</v>
      </c>
    </row>
    <row r="40" spans="1:11">
      <c r="A40" s="278">
        <f>FinancialCalcs!A5</f>
        <v>1</v>
      </c>
      <c r="B40" s="4">
        <f>FinancialCalcs!B5</f>
        <v>5634000</v>
      </c>
      <c r="C40" s="38">
        <f>FinancialCalcs!D5</f>
        <v>4.7399999999999998E-2</v>
      </c>
      <c r="D40" s="27">
        <f>FinancialCalcs!E5</f>
        <v>267051.59999999998</v>
      </c>
      <c r="F40" s="27">
        <f t="shared" ref="F40:F59" si="7">D40</f>
        <v>267051.59999999998</v>
      </c>
    </row>
    <row r="41" spans="1:11">
      <c r="A41" s="278">
        <f>FinancialCalcs!A6</f>
        <v>2</v>
      </c>
      <c r="B41" s="4">
        <f>FinancialCalcs!B6</f>
        <v>5634000</v>
      </c>
      <c r="C41" s="38">
        <f>FinancialCalcs!D6</f>
        <v>4.8821999999999997E-2</v>
      </c>
      <c r="D41" s="27">
        <f>FinancialCalcs!E6</f>
        <v>275063.14799999999</v>
      </c>
      <c r="F41" s="27">
        <f t="shared" si="7"/>
        <v>275063.14799999999</v>
      </c>
    </row>
    <row r="42" spans="1:11">
      <c r="A42" s="278">
        <f>FinancialCalcs!A7</f>
        <v>3</v>
      </c>
      <c r="B42" s="4">
        <f>FinancialCalcs!B7</f>
        <v>5634000</v>
      </c>
      <c r="C42" s="38">
        <f>FinancialCalcs!D7</f>
        <v>5.0286659999999997E-2</v>
      </c>
      <c r="D42" s="27">
        <f>FinancialCalcs!E7</f>
        <v>283315.04243999999</v>
      </c>
      <c r="F42" s="27">
        <f t="shared" si="7"/>
        <v>283315.04243999999</v>
      </c>
    </row>
    <row r="43" spans="1:11">
      <c r="A43" s="278">
        <f>FinancialCalcs!A8</f>
        <v>4</v>
      </c>
      <c r="B43" s="4">
        <f>FinancialCalcs!B8</f>
        <v>5634000</v>
      </c>
      <c r="C43" s="38">
        <f>FinancialCalcs!D8</f>
        <v>5.17952598E-2</v>
      </c>
      <c r="D43" s="27">
        <f>FinancialCalcs!E8</f>
        <v>291814.49371319998</v>
      </c>
      <c r="F43" s="27">
        <f t="shared" si="7"/>
        <v>291814.49371319998</v>
      </c>
    </row>
    <row r="44" spans="1:11">
      <c r="A44" s="278">
        <f>FinancialCalcs!A9</f>
        <v>5</v>
      </c>
      <c r="B44" s="4">
        <f>FinancialCalcs!B9</f>
        <v>5634000</v>
      </c>
      <c r="C44" s="38">
        <f>FinancialCalcs!D9</f>
        <v>5.3349117594000003E-2</v>
      </c>
      <c r="D44" s="27">
        <f>FinancialCalcs!E9</f>
        <v>300568.92852459603</v>
      </c>
      <c r="F44" s="27">
        <f t="shared" si="7"/>
        <v>300568.92852459603</v>
      </c>
    </row>
    <row r="45" spans="1:11">
      <c r="A45" s="278">
        <f>FinancialCalcs!A10</f>
        <v>6</v>
      </c>
      <c r="B45" s="4">
        <f>FinancialCalcs!B10</f>
        <v>5634000</v>
      </c>
      <c r="C45" s="38">
        <f>FinancialCalcs!D10</f>
        <v>5.4949591121820004E-2</v>
      </c>
      <c r="D45" s="27">
        <f>FinancialCalcs!E10</f>
        <v>309585.99638033391</v>
      </c>
      <c r="F45" s="27">
        <f t="shared" si="7"/>
        <v>309585.99638033391</v>
      </c>
    </row>
    <row r="46" spans="1:11">
      <c r="A46" s="278">
        <f>FinancialCalcs!A11</f>
        <v>7</v>
      </c>
      <c r="B46" s="4">
        <f>FinancialCalcs!B11</f>
        <v>5634000</v>
      </c>
      <c r="C46" s="38">
        <f>FinancialCalcs!D11</f>
        <v>5.6598078855474604E-2</v>
      </c>
      <c r="D46" s="27">
        <f>FinancialCalcs!E11</f>
        <v>318873.57627174392</v>
      </c>
      <c r="F46" s="27">
        <f t="shared" si="7"/>
        <v>318873.57627174392</v>
      </c>
    </row>
    <row r="47" spans="1:11">
      <c r="A47" s="278">
        <f>FinancialCalcs!A12</f>
        <v>8</v>
      </c>
      <c r="B47" s="4">
        <f>FinancialCalcs!B12</f>
        <v>5634000</v>
      </c>
      <c r="C47" s="38">
        <f>FinancialCalcs!D12</f>
        <v>5.8296021221138847E-2</v>
      </c>
      <c r="D47" s="27">
        <f>FinancialCalcs!E12</f>
        <v>328439.78355989628</v>
      </c>
      <c r="F47" s="27">
        <f t="shared" si="7"/>
        <v>328439.78355989628</v>
      </c>
    </row>
    <row r="48" spans="1:11">
      <c r="A48" s="278">
        <f>FinancialCalcs!A13</f>
        <v>9</v>
      </c>
      <c r="B48" s="4">
        <f>FinancialCalcs!B13</f>
        <v>5634000</v>
      </c>
      <c r="C48" s="38">
        <f>FinancialCalcs!D13</f>
        <v>6.0044901857773017E-2</v>
      </c>
      <c r="D48" s="27">
        <f>FinancialCalcs!E13</f>
        <v>338292.97706669319</v>
      </c>
      <c r="F48" s="27">
        <f t="shared" si="7"/>
        <v>338292.97706669319</v>
      </c>
    </row>
    <row r="49" spans="1:8">
      <c r="A49" s="278">
        <f>FinancialCalcs!A14</f>
        <v>10</v>
      </c>
      <c r="B49" s="4">
        <f>FinancialCalcs!B14</f>
        <v>5634000</v>
      </c>
      <c r="C49" s="38">
        <f>FinancialCalcs!D14</f>
        <v>6.1846248913506208E-2</v>
      </c>
      <c r="D49" s="27">
        <f>FinancialCalcs!E14</f>
        <v>348441.76637869398</v>
      </c>
      <c r="F49" s="27">
        <f t="shared" si="7"/>
        <v>348441.76637869398</v>
      </c>
    </row>
    <row r="50" spans="1:8">
      <c r="A50" s="278">
        <f>FinancialCalcs!A15</f>
        <v>11</v>
      </c>
      <c r="B50" s="4">
        <f>FinancialCalcs!B15</f>
        <v>5634000</v>
      </c>
      <c r="C50" s="38">
        <f>FinancialCalcs!D15</f>
        <v>6.3701636380911392E-2</v>
      </c>
      <c r="D50" s="27">
        <f>FinancialCalcs!E15</f>
        <v>358895.01937005477</v>
      </c>
      <c r="F50" s="27">
        <f t="shared" si="7"/>
        <v>358895.01937005477</v>
      </c>
    </row>
    <row r="51" spans="1:8">
      <c r="A51" s="278">
        <f>FinancialCalcs!A16</f>
        <v>12</v>
      </c>
      <c r="B51" s="4">
        <f>FinancialCalcs!B16</f>
        <v>5634000</v>
      </c>
      <c r="C51" s="38">
        <f>FinancialCalcs!D16</f>
        <v>6.5612685472338741E-2</v>
      </c>
      <c r="D51" s="27">
        <f>FinancialCalcs!E16</f>
        <v>369661.86995115649</v>
      </c>
      <c r="F51" s="27">
        <f t="shared" si="7"/>
        <v>369661.86995115649</v>
      </c>
    </row>
    <row r="52" spans="1:8">
      <c r="A52" s="278">
        <f>FinancialCalcs!A17</f>
        <v>13</v>
      </c>
      <c r="B52" s="4">
        <f>FinancialCalcs!B17</f>
        <v>5634000</v>
      </c>
      <c r="C52" s="38">
        <f>FinancialCalcs!D17</f>
        <v>6.7581066036508902E-2</v>
      </c>
      <c r="D52" s="27">
        <f>FinancialCalcs!E17</f>
        <v>380751.72604969115</v>
      </c>
      <c r="F52" s="27">
        <f t="shared" si="7"/>
        <v>380751.72604969115</v>
      </c>
    </row>
    <row r="53" spans="1:8">
      <c r="A53" s="278">
        <f>FinancialCalcs!A18</f>
        <v>14</v>
      </c>
      <c r="B53" s="4">
        <f>FinancialCalcs!B18</f>
        <v>5634000</v>
      </c>
      <c r="C53" s="38">
        <f>FinancialCalcs!D18</f>
        <v>6.9608498017604173E-2</v>
      </c>
      <c r="D53" s="27">
        <f>FinancialCalcs!E18</f>
        <v>392174.27783118188</v>
      </c>
      <c r="F53" s="27">
        <f t="shared" si="7"/>
        <v>392174.27783118188</v>
      </c>
    </row>
    <row r="54" spans="1:8">
      <c r="A54" s="278">
        <f>FinancialCalcs!A19</f>
        <v>15</v>
      </c>
      <c r="B54" s="4">
        <f>FinancialCalcs!B19</f>
        <v>5634000</v>
      </c>
      <c r="C54" s="38">
        <f>FinancialCalcs!D19</f>
        <v>7.1696752958132298E-2</v>
      </c>
      <c r="D54" s="27">
        <f>FinancialCalcs!E19</f>
        <v>403939.50616611738</v>
      </c>
      <c r="F54" s="27">
        <f t="shared" si="7"/>
        <v>403939.50616611738</v>
      </c>
    </row>
    <row r="55" spans="1:8">
      <c r="A55" s="278">
        <f>FinancialCalcs!A20</f>
        <v>16</v>
      </c>
      <c r="B55" s="4">
        <f>FinancialCalcs!B20</f>
        <v>5634000</v>
      </c>
      <c r="C55" s="38">
        <f>FinancialCalcs!D20</f>
        <v>7.3847655546876265E-2</v>
      </c>
      <c r="D55" s="27">
        <f>FinancialCalcs!E20</f>
        <v>416057.69135110086</v>
      </c>
      <c r="F55" s="27">
        <f t="shared" si="7"/>
        <v>416057.69135110086</v>
      </c>
    </row>
    <row r="56" spans="1:8">
      <c r="A56" s="278">
        <f>FinancialCalcs!A21</f>
        <v>17</v>
      </c>
      <c r="B56" s="4">
        <f>FinancialCalcs!B21</f>
        <v>5634000</v>
      </c>
      <c r="C56" s="38">
        <f>FinancialCalcs!D21</f>
        <v>7.6063085213282561E-2</v>
      </c>
      <c r="D56" s="27">
        <f>FinancialCalcs!E21</f>
        <v>428539.42209163395</v>
      </c>
      <c r="F56" s="27">
        <f t="shared" si="7"/>
        <v>428539.42209163395</v>
      </c>
    </row>
    <row r="57" spans="1:8">
      <c r="A57" s="278">
        <f>FinancialCalcs!A22</f>
        <v>18</v>
      </c>
      <c r="B57" s="4">
        <f>FinancialCalcs!B22</f>
        <v>5634000</v>
      </c>
      <c r="C57" s="38">
        <f>FinancialCalcs!D22</f>
        <v>7.8344977769681037E-2</v>
      </c>
      <c r="D57" s="27">
        <f>FinancialCalcs!E22</f>
        <v>441395.60475438298</v>
      </c>
      <c r="F57" s="27">
        <f t="shared" si="7"/>
        <v>441395.60475438298</v>
      </c>
    </row>
    <row r="58" spans="1:8">
      <c r="A58" s="278">
        <f>FinancialCalcs!A23</f>
        <v>19</v>
      </c>
      <c r="B58" s="4">
        <f>FinancialCalcs!B23</f>
        <v>5634000</v>
      </c>
      <c r="C58" s="38">
        <f>FinancialCalcs!D23</f>
        <v>8.0695327102771469E-2</v>
      </c>
      <c r="D58" s="27">
        <f>FinancialCalcs!E23</f>
        <v>454637.47289701446</v>
      </c>
      <c r="F58" s="27">
        <f t="shared" si="7"/>
        <v>454637.47289701446</v>
      </c>
    </row>
    <row r="59" spans="1:8">
      <c r="A59" s="278">
        <f>FinancialCalcs!A24</f>
        <v>20</v>
      </c>
      <c r="B59" s="4">
        <f>FinancialCalcs!B24</f>
        <v>5634000</v>
      </c>
      <c r="C59" s="38">
        <f>FinancialCalcs!D24</f>
        <v>8.3116186915854609E-2</v>
      </c>
      <c r="D59" s="27">
        <f>FinancialCalcs!E24</f>
        <v>468276.59708392486</v>
      </c>
      <c r="F59" s="27">
        <f t="shared" si="7"/>
        <v>468276.59708392486</v>
      </c>
    </row>
    <row r="60" spans="1:8">
      <c r="A60" s="26"/>
      <c r="B60" s="26"/>
      <c r="C60" s="26"/>
      <c r="D60" s="26"/>
      <c r="E60" s="26"/>
      <c r="F60" s="26"/>
      <c r="G60" s="26"/>
      <c r="H60" s="26"/>
    </row>
    <row r="61" spans="1:8">
      <c r="A61" s="279" t="str">
        <f>[4]FinancialCalcs!A31</f>
        <v>Results</v>
      </c>
      <c r="B61" s="26"/>
      <c r="C61" s="26"/>
      <c r="D61" s="26"/>
      <c r="E61" s="26"/>
      <c r="F61" s="26"/>
      <c r="G61" s="26"/>
      <c r="H61" s="26"/>
    </row>
    <row r="62" spans="1:8">
      <c r="A62" s="44" t="str">
        <f>[4]FinancialCalcs!A32</f>
        <v>Financial IRR:</v>
      </c>
      <c r="B62" s="32"/>
      <c r="C62" s="32"/>
      <c r="D62" s="32"/>
      <c r="E62" s="32"/>
      <c r="F62" s="45">
        <f>IRR(F39:F59)</f>
        <v>1.8348861275550368</v>
      </c>
      <c r="H62" s="26"/>
    </row>
    <row r="63" spans="1:8">
      <c r="A63" s="44" t="str">
        <f>[4]FinancialCalcs!A33</f>
        <v>Net Present Value of future cash flows (after year 1):</v>
      </c>
      <c r="B63" s="32"/>
      <c r="C63" s="32"/>
      <c r="D63" s="32"/>
      <c r="E63" s="32"/>
      <c r="F63" s="34">
        <f>NPV(FinancialCalcs!H46,EconomicValueEnergy!F40:F59)</f>
        <v>3271393.1678432669</v>
      </c>
      <c r="H63" s="26"/>
    </row>
    <row r="64" spans="1:8">
      <c r="A64" s="44" t="str">
        <f>[4]FinancialCalcs!A34</f>
        <v>ROI (with no discounting of future rev. and cost):</v>
      </c>
      <c r="B64" s="32"/>
      <c r="C64" s="32"/>
      <c r="D64" s="32"/>
      <c r="E64" s="32"/>
      <c r="F64" s="45">
        <f>(D40*20)/E39</f>
        <v>36.097722609111955</v>
      </c>
      <c r="H64" s="26"/>
    </row>
    <row r="65" spans="1:8">
      <c r="A65" s="44" t="str">
        <f>[4]FinancialCalcs!A35</f>
        <v>ROI (with discounting of future rev. and costs):</v>
      </c>
      <c r="B65" s="32"/>
      <c r="C65" s="32"/>
      <c r="D65" s="32"/>
      <c r="E65" s="32"/>
      <c r="F65" s="45">
        <f>(F63-E39)/E39</f>
        <v>21.109929900841312</v>
      </c>
      <c r="H65" s="26"/>
    </row>
    <row r="66" spans="1:8">
      <c r="A66" s="26"/>
      <c r="H66" s="26"/>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V65"/>
  <sheetViews>
    <sheetView zoomScale="85" zoomScaleNormal="85" workbookViewId="0">
      <pane ySplit="1" topLeftCell="A5" activePane="bottomLeft" state="frozen"/>
      <selection pane="bottomLeft" activeCell="L25" sqref="L25"/>
    </sheetView>
  </sheetViews>
  <sheetFormatPr defaultRowHeight="15"/>
  <cols>
    <col min="1" max="1" width="71.5703125" customWidth="1"/>
    <col min="2" max="2" width="18.42578125" customWidth="1"/>
    <col min="3" max="3" width="14.28515625" customWidth="1"/>
    <col min="4" max="10" width="9.7109375" customWidth="1"/>
    <col min="11" max="11" width="12.85546875" customWidth="1"/>
    <col min="12" max="12" width="16.85546875" customWidth="1"/>
  </cols>
  <sheetData>
    <row r="1" spans="1:12" ht="36" customHeight="1">
      <c r="A1" s="423" t="s">
        <v>511</v>
      </c>
      <c r="B1" s="421" t="s">
        <v>6</v>
      </c>
      <c r="C1" s="421" t="s">
        <v>0</v>
      </c>
      <c r="D1" s="436" t="s">
        <v>92</v>
      </c>
      <c r="E1" s="436" t="s">
        <v>597</v>
      </c>
      <c r="F1" s="436" t="s">
        <v>591</v>
      </c>
      <c r="G1" s="436" t="s">
        <v>592</v>
      </c>
      <c r="H1" s="436" t="s">
        <v>593</v>
      </c>
      <c r="I1" s="436" t="s">
        <v>611</v>
      </c>
      <c r="J1" s="436" t="s">
        <v>612</v>
      </c>
      <c r="K1" s="421" t="s">
        <v>522</v>
      </c>
    </row>
    <row r="2" spans="1:12">
      <c r="A2" s="421" t="s">
        <v>447</v>
      </c>
      <c r="L2" s="293" t="s">
        <v>331</v>
      </c>
    </row>
    <row r="3" spans="1:12">
      <c r="A3" t="s">
        <v>448</v>
      </c>
      <c r="B3">
        <v>3</v>
      </c>
      <c r="C3" t="s">
        <v>512</v>
      </c>
      <c r="D3" s="424"/>
      <c r="E3" s="424"/>
      <c r="F3" s="424"/>
      <c r="G3" s="424"/>
      <c r="H3" s="424"/>
      <c r="L3" s="431" t="s">
        <v>93</v>
      </c>
    </row>
    <row r="4" spans="1:12">
      <c r="A4" t="s">
        <v>450</v>
      </c>
      <c r="B4">
        <f>_KWturb/1000</f>
        <v>2</v>
      </c>
      <c r="C4" t="s">
        <v>227</v>
      </c>
      <c r="D4" s="424"/>
      <c r="E4" s="424"/>
      <c r="F4" s="424"/>
      <c r="G4" s="424"/>
      <c r="H4" s="424"/>
      <c r="L4" s="432" t="s">
        <v>94</v>
      </c>
    </row>
    <row r="5" spans="1:12">
      <c r="A5" t="s">
        <v>451</v>
      </c>
      <c r="B5" s="14">
        <f>'LCA Vestas Onshore 2.0MW'!C9</f>
        <v>0.32157534246575342</v>
      </c>
      <c r="C5" t="s">
        <v>48</v>
      </c>
      <c r="D5" s="424"/>
      <c r="E5" s="424"/>
      <c r="F5" s="424"/>
      <c r="G5" s="424"/>
      <c r="H5" s="424"/>
      <c r="L5" s="433" t="s">
        <v>95</v>
      </c>
    </row>
    <row r="6" spans="1:12">
      <c r="A6" t="s">
        <v>452</v>
      </c>
      <c r="B6">
        <v>2009</v>
      </c>
      <c r="D6" s="424"/>
      <c r="E6" s="424"/>
      <c r="F6" s="424"/>
      <c r="G6" s="424"/>
      <c r="H6" s="424"/>
      <c r="L6" s="434" t="s">
        <v>514</v>
      </c>
    </row>
    <row r="7" spans="1:12">
      <c r="A7" t="s">
        <v>453</v>
      </c>
      <c r="B7">
        <v>20</v>
      </c>
      <c r="C7" t="s">
        <v>11</v>
      </c>
      <c r="D7" s="424"/>
      <c r="E7" s="424"/>
      <c r="F7" s="424"/>
      <c r="G7" s="424"/>
      <c r="H7" s="424"/>
      <c r="L7" s="434" t="s">
        <v>613</v>
      </c>
    </row>
    <row r="8" spans="1:12">
      <c r="A8" s="421" t="s">
        <v>454</v>
      </c>
      <c r="D8" s="422"/>
      <c r="L8" s="435" t="s">
        <v>515</v>
      </c>
    </row>
    <row r="9" spans="1:12">
      <c r="A9" t="s">
        <v>130</v>
      </c>
      <c r="B9">
        <f>'JEDI Project data'!J37/1000</f>
        <v>3045.7120437914914</v>
      </c>
      <c r="C9" t="s">
        <v>513</v>
      </c>
      <c r="D9" s="425"/>
      <c r="E9" s="426"/>
      <c r="F9" s="426"/>
      <c r="G9" s="426"/>
      <c r="H9" s="426"/>
      <c r="L9" s="435" t="s">
        <v>523</v>
      </c>
    </row>
    <row r="10" spans="1:12">
      <c r="A10" t="s">
        <v>455</v>
      </c>
      <c r="B10">
        <f>'JEDI Project data'!J61/1000</f>
        <v>1019.0878235274478</v>
      </c>
      <c r="C10" t="s">
        <v>513</v>
      </c>
      <c r="D10" s="425"/>
      <c r="E10" s="426"/>
      <c r="F10" s="426"/>
      <c r="G10" s="426"/>
      <c r="H10" s="426"/>
    </row>
    <row r="11" spans="1:12">
      <c r="A11" t="s">
        <v>456</v>
      </c>
      <c r="B11">
        <v>0</v>
      </c>
      <c r="C11" t="s">
        <v>513</v>
      </c>
      <c r="D11" s="427"/>
      <c r="E11" s="425"/>
      <c r="F11" s="425"/>
      <c r="G11" s="425"/>
      <c r="H11" s="425"/>
      <c r="K11" t="s">
        <v>638</v>
      </c>
    </row>
    <row r="12" spans="1:12">
      <c r="A12" t="s">
        <v>457</v>
      </c>
      <c r="B12">
        <v>0</v>
      </c>
      <c r="C12" t="s">
        <v>513</v>
      </c>
      <c r="D12" s="427"/>
      <c r="E12" s="425"/>
      <c r="F12" s="425"/>
      <c r="G12" s="425"/>
      <c r="H12" s="425"/>
      <c r="K12" t="s">
        <v>638</v>
      </c>
    </row>
    <row r="13" spans="1:12">
      <c r="A13" t="s">
        <v>458</v>
      </c>
      <c r="B13">
        <v>0</v>
      </c>
      <c r="C13" t="s">
        <v>513</v>
      </c>
      <c r="D13" s="427"/>
      <c r="E13" s="425"/>
      <c r="F13" s="425"/>
      <c r="G13" s="425"/>
      <c r="H13" s="425"/>
      <c r="K13" t="s">
        <v>638</v>
      </c>
    </row>
    <row r="14" spans="1:12">
      <c r="A14" t="s">
        <v>459</v>
      </c>
      <c r="B14">
        <v>0</v>
      </c>
      <c r="C14" t="s">
        <v>513</v>
      </c>
      <c r="D14" s="427"/>
      <c r="E14" s="425"/>
      <c r="F14" s="425"/>
      <c r="G14" s="425"/>
      <c r="H14" s="425"/>
      <c r="K14" t="s">
        <v>638</v>
      </c>
    </row>
    <row r="15" spans="1:12">
      <c r="A15" t="s">
        <v>460</v>
      </c>
      <c r="B15">
        <v>0</v>
      </c>
      <c r="C15" t="s">
        <v>513</v>
      </c>
      <c r="D15" s="427"/>
      <c r="E15" s="425"/>
      <c r="F15" s="425"/>
      <c r="G15" s="425"/>
      <c r="H15" s="425"/>
      <c r="K15" t="s">
        <v>638</v>
      </c>
    </row>
    <row r="16" spans="1:12">
      <c r="A16" t="s">
        <v>461</v>
      </c>
      <c r="B16">
        <v>0</v>
      </c>
      <c r="C16" t="s">
        <v>513</v>
      </c>
      <c r="D16" s="427"/>
      <c r="E16" s="425"/>
      <c r="F16" s="425"/>
      <c r="G16" s="425"/>
      <c r="H16" s="425"/>
      <c r="K16" t="s">
        <v>638</v>
      </c>
    </row>
    <row r="17" spans="1:22">
      <c r="A17" t="s">
        <v>462</v>
      </c>
      <c r="B17">
        <v>0</v>
      </c>
      <c r="C17" t="s">
        <v>513</v>
      </c>
      <c r="D17" s="427"/>
      <c r="E17" s="425"/>
      <c r="F17" s="425"/>
      <c r="G17" s="425"/>
      <c r="H17" s="425"/>
      <c r="K17" t="s">
        <v>638</v>
      </c>
    </row>
    <row r="18" spans="1:22">
      <c r="A18" t="s">
        <v>463</v>
      </c>
      <c r="B18" t="s">
        <v>614</v>
      </c>
      <c r="C18" t="s">
        <v>513</v>
      </c>
      <c r="D18" s="425"/>
      <c r="E18" s="425"/>
      <c r="F18" s="425"/>
      <c r="G18" s="425"/>
      <c r="H18" s="425"/>
      <c r="K18" t="s">
        <v>638</v>
      </c>
    </row>
    <row r="19" spans="1:22">
      <c r="A19" t="s">
        <v>464</v>
      </c>
      <c r="B19">
        <f>SUM(B9:B18)</f>
        <v>4064.7998673189391</v>
      </c>
      <c r="C19" t="s">
        <v>513</v>
      </c>
      <c r="D19" s="427"/>
      <c r="E19" s="425"/>
      <c r="F19" s="425"/>
      <c r="G19" s="425"/>
      <c r="H19" s="425"/>
      <c r="K19" t="s">
        <v>529</v>
      </c>
    </row>
    <row r="20" spans="1:22">
      <c r="A20" s="421" t="s">
        <v>465</v>
      </c>
    </row>
    <row r="21" spans="1:22">
      <c r="A21" t="s">
        <v>466</v>
      </c>
      <c r="B21">
        <f>'JEDI Project data'!C83</f>
        <v>19.822626779997865</v>
      </c>
      <c r="C21" t="s">
        <v>516</v>
      </c>
      <c r="D21" s="425"/>
      <c r="E21" s="425"/>
      <c r="F21" s="430"/>
      <c r="G21" s="438"/>
      <c r="H21" s="438"/>
      <c r="K21" s="432" t="s">
        <v>531</v>
      </c>
      <c r="L21" s="432"/>
      <c r="M21" s="432"/>
      <c r="N21" s="432"/>
      <c r="O21" s="432"/>
      <c r="P21" s="432"/>
      <c r="Q21" s="432"/>
      <c r="R21" s="432"/>
      <c r="S21" s="432"/>
      <c r="T21" s="432"/>
      <c r="U21" s="432"/>
      <c r="V21" s="432"/>
    </row>
    <row r="22" spans="1:22">
      <c r="A22" t="s">
        <v>467</v>
      </c>
      <c r="B22">
        <v>0</v>
      </c>
      <c r="C22" t="s">
        <v>291</v>
      </c>
      <c r="D22" s="427"/>
      <c r="E22" s="427"/>
      <c r="F22" s="430"/>
      <c r="G22" s="430"/>
      <c r="H22" s="430"/>
      <c r="K22" s="437"/>
    </row>
    <row r="23" spans="1:22">
      <c r="A23" t="s">
        <v>468</v>
      </c>
      <c r="D23" s="428"/>
      <c r="E23" s="425"/>
      <c r="F23" s="425"/>
      <c r="G23" s="425"/>
      <c r="H23" s="425"/>
    </row>
    <row r="24" spans="1:22">
      <c r="A24" t="s">
        <v>469</v>
      </c>
      <c r="B24" s="25">
        <v>0.03</v>
      </c>
      <c r="C24" t="s">
        <v>48</v>
      </c>
      <c r="D24" s="427"/>
      <c r="E24" s="425"/>
      <c r="F24" s="425"/>
      <c r="G24" s="425"/>
      <c r="H24" s="148"/>
      <c r="K24" t="s">
        <v>639</v>
      </c>
    </row>
    <row r="25" spans="1:22">
      <c r="A25" t="s">
        <v>470</v>
      </c>
      <c r="D25" s="427"/>
      <c r="E25" s="425"/>
      <c r="F25" s="425"/>
      <c r="G25" s="425"/>
      <c r="H25" s="425"/>
    </row>
    <row r="26" spans="1:22">
      <c r="A26" t="s">
        <v>471</v>
      </c>
      <c r="B26" s="14">
        <f>'JEDI Project data'!I102/('JEDI Project data'!C61+'JEDI Project data'!C37)</f>
        <v>5.4054321780157644E-3</v>
      </c>
      <c r="C26" s="14" t="s">
        <v>48</v>
      </c>
      <c r="D26" s="427"/>
      <c r="E26" s="425"/>
      <c r="F26" s="425"/>
      <c r="G26" s="425"/>
      <c r="H26" s="148"/>
    </row>
    <row r="27" spans="1:22">
      <c r="A27" t="s">
        <v>472</v>
      </c>
      <c r="D27" s="425"/>
      <c r="E27" s="425"/>
      <c r="F27" s="425"/>
      <c r="G27" s="425"/>
      <c r="H27" s="425"/>
    </row>
    <row r="28" spans="1:22">
      <c r="A28" t="s">
        <v>471</v>
      </c>
      <c r="B28" s="14">
        <f>'JEDI Project data'!C78/('JEDI Project data'!C61+'JEDI Project data'!C37)</f>
        <v>1.6376913795556032E-3</v>
      </c>
      <c r="C28" s="14" t="s">
        <v>48</v>
      </c>
      <c r="D28" s="427"/>
      <c r="E28" s="425"/>
      <c r="F28" s="425"/>
      <c r="G28" s="425"/>
      <c r="H28" s="148"/>
    </row>
    <row r="29" spans="1:22">
      <c r="A29" t="s">
        <v>473</v>
      </c>
      <c r="B29">
        <v>0</v>
      </c>
      <c r="C29" t="s">
        <v>530</v>
      </c>
      <c r="D29" s="427"/>
      <c r="E29" s="425"/>
      <c r="F29" s="425"/>
      <c r="G29" s="425"/>
      <c r="H29" s="148"/>
    </row>
    <row r="30" spans="1:22">
      <c r="A30" t="s">
        <v>474</v>
      </c>
      <c r="B30" t="s">
        <v>449</v>
      </c>
      <c r="D30" s="427"/>
      <c r="E30" s="425"/>
      <c r="F30" s="430"/>
      <c r="G30" s="430"/>
      <c r="H30" s="430"/>
    </row>
    <row r="31" spans="1:22">
      <c r="A31" t="s">
        <v>475</v>
      </c>
      <c r="B31" t="s">
        <v>449</v>
      </c>
      <c r="D31" s="425"/>
      <c r="E31" s="425"/>
      <c r="F31" s="430"/>
      <c r="G31" s="430"/>
      <c r="H31" s="430"/>
    </row>
    <row r="32" spans="1:22">
      <c r="A32" t="s">
        <v>476</v>
      </c>
      <c r="B32" t="s">
        <v>477</v>
      </c>
      <c r="D32" s="427"/>
      <c r="E32" s="425"/>
      <c r="F32" s="425"/>
      <c r="G32" s="425"/>
      <c r="H32" s="148"/>
    </row>
    <row r="33" spans="1:11">
      <c r="A33" t="s">
        <v>478</v>
      </c>
      <c r="B33" t="s">
        <v>449</v>
      </c>
      <c r="D33" s="425"/>
      <c r="E33" s="425"/>
      <c r="F33" s="425"/>
      <c r="G33" s="425"/>
      <c r="H33" s="148"/>
    </row>
    <row r="34" spans="1:11">
      <c r="A34" t="s">
        <v>479</v>
      </c>
      <c r="B34" t="s">
        <v>449</v>
      </c>
      <c r="D34" s="424"/>
      <c r="E34" s="424"/>
      <c r="F34" s="424"/>
      <c r="G34" s="424"/>
      <c r="H34" s="424"/>
    </row>
    <row r="35" spans="1:11">
      <c r="A35" s="421" t="s">
        <v>480</v>
      </c>
      <c r="D35" s="422"/>
    </row>
    <row r="36" spans="1:11">
      <c r="A36" t="s">
        <v>481</v>
      </c>
      <c r="B36">
        <v>0</v>
      </c>
      <c r="C36" t="s">
        <v>48</v>
      </c>
      <c r="D36" s="427"/>
      <c r="E36" s="425"/>
      <c r="F36" s="425"/>
      <c r="G36" s="425"/>
      <c r="H36" s="425"/>
      <c r="I36" s="429"/>
    </row>
    <row r="37" spans="1:11">
      <c r="A37" t="s">
        <v>482</v>
      </c>
      <c r="B37" s="14">
        <v>0.02</v>
      </c>
      <c r="C37" t="s">
        <v>48</v>
      </c>
      <c r="D37" s="427"/>
      <c r="E37" s="425"/>
      <c r="F37" s="425"/>
      <c r="G37" s="425"/>
      <c r="H37" s="425"/>
      <c r="I37" s="429"/>
    </row>
    <row r="38" spans="1:11">
      <c r="A38" t="s">
        <v>517</v>
      </c>
      <c r="D38" s="427"/>
      <c r="E38" s="425"/>
      <c r="F38" s="425"/>
      <c r="G38" s="425"/>
      <c r="H38" s="425"/>
    </row>
    <row r="39" spans="1:11">
      <c r="A39" t="s">
        <v>483</v>
      </c>
      <c r="B39">
        <f>'JEDI Project data'!C62*_KWturb/1000*B41</f>
        <v>3251.8398938551513</v>
      </c>
      <c r="C39" t="s">
        <v>513</v>
      </c>
      <c r="D39" s="427"/>
      <c r="E39" s="425"/>
      <c r="F39" s="425"/>
      <c r="G39" s="425"/>
      <c r="H39" s="425"/>
      <c r="I39" s="429"/>
    </row>
    <row r="40" spans="1:11">
      <c r="A40" t="s">
        <v>484</v>
      </c>
      <c r="B40" t="s">
        <v>485</v>
      </c>
      <c r="D40" s="425"/>
      <c r="E40" s="425"/>
      <c r="F40" s="425"/>
      <c r="G40" s="425"/>
      <c r="H40" s="425"/>
      <c r="I40" s="429"/>
    </row>
    <row r="41" spans="1:11">
      <c r="A41" t="s">
        <v>486</v>
      </c>
      <c r="B41" s="14">
        <f>'JEDI Project data'!B88</f>
        <v>0.8</v>
      </c>
      <c r="C41" s="14" t="s">
        <v>48</v>
      </c>
      <c r="D41" s="425"/>
      <c r="E41" s="425"/>
      <c r="F41" s="425"/>
      <c r="G41" s="425"/>
      <c r="H41" s="425"/>
      <c r="I41" s="429"/>
    </row>
    <row r="42" spans="1:11">
      <c r="A42" t="s">
        <v>487</v>
      </c>
      <c r="B42" s="14">
        <v>6.8000000000000005E-2</v>
      </c>
      <c r="C42" s="14" t="s">
        <v>48</v>
      </c>
      <c r="D42" s="427"/>
      <c r="E42" s="425"/>
      <c r="F42" s="425"/>
      <c r="G42" s="425"/>
      <c r="H42" s="425"/>
      <c r="I42" s="429"/>
      <c r="K42" t="s">
        <v>520</v>
      </c>
    </row>
    <row r="43" spans="1:11">
      <c r="A43" t="s">
        <v>488</v>
      </c>
      <c r="B43">
        <v>10</v>
      </c>
      <c r="C43" t="s">
        <v>11</v>
      </c>
      <c r="D43" s="427"/>
      <c r="E43" s="425"/>
      <c r="F43" s="425"/>
      <c r="G43" s="425"/>
      <c r="H43" s="425"/>
      <c r="I43" s="429"/>
    </row>
    <row r="44" spans="1:11">
      <c r="A44" s="421" t="s">
        <v>489</v>
      </c>
    </row>
    <row r="45" spans="1:11">
      <c r="A45" t="s">
        <v>490</v>
      </c>
      <c r="B45">
        <v>0</v>
      </c>
      <c r="C45" t="s">
        <v>512</v>
      </c>
      <c r="D45" s="424"/>
      <c r="E45" s="424"/>
      <c r="F45" s="424"/>
      <c r="G45" s="424"/>
      <c r="H45" s="424"/>
      <c r="K45" t="s">
        <v>521</v>
      </c>
    </row>
    <row r="46" spans="1:11">
      <c r="A46" t="s">
        <v>491</v>
      </c>
      <c r="B46">
        <v>0</v>
      </c>
      <c r="C46" t="s">
        <v>512</v>
      </c>
      <c r="D46" s="424"/>
      <c r="E46" s="424"/>
      <c r="F46" s="424"/>
      <c r="G46" s="424"/>
      <c r="H46" s="424"/>
    </row>
    <row r="47" spans="1:11">
      <c r="A47" t="s">
        <v>492</v>
      </c>
      <c r="B47" t="s">
        <v>493</v>
      </c>
      <c r="D47" s="427"/>
      <c r="E47" s="425"/>
      <c r="F47" s="425"/>
      <c r="G47" s="425"/>
      <c r="H47" s="425"/>
      <c r="J47" s="435"/>
    </row>
    <row r="48" spans="1:11">
      <c r="A48" t="s">
        <v>494</v>
      </c>
      <c r="B48" t="s">
        <v>524</v>
      </c>
      <c r="C48" t="s">
        <v>518</v>
      </c>
      <c r="D48" s="425"/>
      <c r="E48" s="425"/>
      <c r="F48" s="425"/>
      <c r="G48" s="425"/>
      <c r="H48" s="425"/>
      <c r="J48" s="435"/>
    </row>
    <row r="49" spans="1:11">
      <c r="A49" t="s">
        <v>496</v>
      </c>
      <c r="B49">
        <v>2.1</v>
      </c>
      <c r="C49" s="422" t="s">
        <v>519</v>
      </c>
      <c r="D49" s="427"/>
      <c r="E49" s="425"/>
      <c r="F49" s="425"/>
      <c r="G49" s="425"/>
      <c r="H49" s="425"/>
      <c r="J49" s="435"/>
    </row>
    <row r="50" spans="1:11">
      <c r="A50" t="s">
        <v>497</v>
      </c>
      <c r="B50">
        <v>10</v>
      </c>
      <c r="C50" t="s">
        <v>11</v>
      </c>
      <c r="D50" s="425"/>
      <c r="E50" s="425"/>
      <c r="F50" s="425"/>
      <c r="G50" s="425"/>
      <c r="H50" s="425"/>
      <c r="J50" s="435"/>
    </row>
    <row r="51" spans="1:11">
      <c r="A51" t="s">
        <v>498</v>
      </c>
      <c r="B51">
        <f>B3</f>
        <v>3</v>
      </c>
      <c r="C51" t="s">
        <v>512</v>
      </c>
      <c r="D51" s="427"/>
      <c r="E51" s="425"/>
      <c r="F51" s="425"/>
      <c r="G51" s="425"/>
      <c r="H51" s="425"/>
      <c r="J51" s="435"/>
      <c r="K51" t="s">
        <v>525</v>
      </c>
    </row>
    <row r="52" spans="1:11">
      <c r="A52" s="421" t="s">
        <v>499</v>
      </c>
    </row>
    <row r="53" spans="1:11">
      <c r="A53" t="s">
        <v>500</v>
      </c>
      <c r="B53">
        <v>5.5</v>
      </c>
      <c r="C53" t="s">
        <v>512</v>
      </c>
      <c r="D53" s="424"/>
      <c r="E53" s="424"/>
      <c r="F53" s="424"/>
      <c r="G53" s="424"/>
      <c r="H53" s="424"/>
      <c r="K53" t="s">
        <v>526</v>
      </c>
    </row>
    <row r="54" spans="1:11">
      <c r="A54" t="s">
        <v>501</v>
      </c>
      <c r="B54">
        <v>6</v>
      </c>
      <c r="C54" t="s">
        <v>512</v>
      </c>
      <c r="D54" s="424"/>
      <c r="E54" s="424"/>
      <c r="F54" s="424"/>
      <c r="G54" s="424"/>
      <c r="H54" s="424"/>
      <c r="K54" t="s">
        <v>526</v>
      </c>
    </row>
    <row r="55" spans="1:11">
      <c r="A55" t="s">
        <v>502</v>
      </c>
      <c r="B55">
        <v>1</v>
      </c>
      <c r="C55" t="s">
        <v>512</v>
      </c>
      <c r="D55" s="424"/>
      <c r="E55" s="424"/>
      <c r="F55" s="424"/>
      <c r="G55" s="424"/>
      <c r="H55" s="424"/>
      <c r="K55" t="s">
        <v>527</v>
      </c>
    </row>
    <row r="56" spans="1:11">
      <c r="A56" s="421" t="s">
        <v>503</v>
      </c>
      <c r="D56" s="422"/>
    </row>
    <row r="57" spans="1:11">
      <c r="A57" t="s">
        <v>504</v>
      </c>
      <c r="B57" t="s">
        <v>505</v>
      </c>
      <c r="D57" s="424"/>
      <c r="E57" s="424"/>
      <c r="F57" s="424"/>
      <c r="G57" s="424"/>
      <c r="H57" s="424"/>
    </row>
    <row r="58" spans="1:11">
      <c r="A58" t="s">
        <v>436</v>
      </c>
      <c r="B58">
        <v>1.34</v>
      </c>
      <c r="D58" s="427"/>
      <c r="E58" s="425"/>
      <c r="F58" s="425"/>
      <c r="G58" s="425"/>
      <c r="H58" s="425"/>
    </row>
    <row r="59" spans="1:11">
      <c r="A59" t="s">
        <v>506</v>
      </c>
      <c r="B59" t="s">
        <v>505</v>
      </c>
      <c r="D59" s="424"/>
      <c r="E59" s="424"/>
      <c r="F59" s="424"/>
      <c r="G59" s="424"/>
      <c r="H59" s="424"/>
    </row>
    <row r="60" spans="1:11">
      <c r="A60" t="s">
        <v>507</v>
      </c>
      <c r="B60">
        <v>1.27</v>
      </c>
      <c r="D60" s="425"/>
      <c r="E60" s="425"/>
      <c r="F60" s="425"/>
      <c r="G60" s="425"/>
      <c r="H60" s="425"/>
    </row>
    <row r="61" spans="1:11">
      <c r="A61" t="s">
        <v>508</v>
      </c>
      <c r="B61" t="s">
        <v>495</v>
      </c>
      <c r="C61" s="422"/>
      <c r="D61" s="425"/>
      <c r="E61" s="425"/>
      <c r="F61" s="425"/>
      <c r="G61" s="425"/>
      <c r="H61" s="425"/>
    </row>
    <row r="62" spans="1:11">
      <c r="A62" t="s">
        <v>509</v>
      </c>
      <c r="B62" s="14">
        <v>0.1</v>
      </c>
      <c r="C62" t="s">
        <v>48</v>
      </c>
      <c r="D62" s="424"/>
      <c r="E62" s="424"/>
      <c r="F62" s="424"/>
      <c r="G62" s="424"/>
      <c r="H62" s="424"/>
      <c r="K62" t="s">
        <v>528</v>
      </c>
    </row>
    <row r="63" spans="1:11">
      <c r="A63" t="s">
        <v>510</v>
      </c>
      <c r="B63" t="s">
        <v>505</v>
      </c>
      <c r="D63" s="424"/>
      <c r="E63" s="424"/>
      <c r="F63" s="424"/>
      <c r="G63" s="424"/>
      <c r="H63" s="424"/>
    </row>
    <row r="64" spans="1:11">
      <c r="D64" s="422"/>
    </row>
    <row r="65" spans="4:4">
      <c r="D65" s="422"/>
    </row>
  </sheetData>
  <phoneticPr fontId="45" type="noConversion"/>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sheetPr codeName="Sheet7"/>
  <dimension ref="A1:U56"/>
  <sheetViews>
    <sheetView topLeftCell="A7" workbookViewId="0">
      <selection activeCell="C14" sqref="C14"/>
    </sheetView>
  </sheetViews>
  <sheetFormatPr defaultRowHeight="15"/>
  <cols>
    <col min="1" max="1" width="6.28515625" style="189" customWidth="1"/>
    <col min="2" max="2" width="13" customWidth="1"/>
    <col min="3" max="3" width="10.7109375" style="27" customWidth="1"/>
    <col min="5" max="6" width="11.28515625" customWidth="1"/>
    <col min="7" max="7" width="12.28515625" customWidth="1"/>
    <col min="8" max="8" width="14.140625" customWidth="1"/>
    <col min="9" max="10" width="13.5703125" bestFit="1" customWidth="1"/>
    <col min="11" max="11" width="12.85546875" customWidth="1"/>
    <col min="14" max="14" width="15.28515625" customWidth="1"/>
    <col min="16" max="16" width="55.28515625" customWidth="1"/>
    <col min="17" max="17" width="11.42578125" customWidth="1"/>
    <col min="18" max="18" width="25.7109375" customWidth="1"/>
    <col min="19" max="19" width="15.42578125" style="27" customWidth="1"/>
    <col min="20" max="20" width="55" customWidth="1"/>
  </cols>
  <sheetData>
    <row r="1" spans="1:21">
      <c r="A1" s="189" t="s">
        <v>439</v>
      </c>
      <c r="L1" s="416"/>
      <c r="M1" t="s">
        <v>421</v>
      </c>
    </row>
    <row r="2" spans="1:21" ht="57" customHeight="1">
      <c r="A2" s="189" t="s">
        <v>441</v>
      </c>
      <c r="L2" s="416"/>
      <c r="M2" s="401" t="s">
        <v>34</v>
      </c>
      <c r="N2" s="402" t="s">
        <v>422</v>
      </c>
      <c r="P2" s="9" t="s">
        <v>443</v>
      </c>
      <c r="S2" s="402" t="s">
        <v>422</v>
      </c>
      <c r="T2" s="9" t="s">
        <v>444</v>
      </c>
    </row>
    <row r="3" spans="1:21" ht="75">
      <c r="A3" s="190" t="str">
        <f>'[4]Vestas Offshore 3.0MW'!O3</f>
        <v>Year</v>
      </c>
      <c r="B3" s="8" t="s">
        <v>368</v>
      </c>
      <c r="C3" s="191" t="s">
        <v>414</v>
      </c>
      <c r="D3" s="11" t="s">
        <v>49</v>
      </c>
      <c r="E3" s="11" t="s">
        <v>50</v>
      </c>
      <c r="F3" s="11" t="s">
        <v>416</v>
      </c>
      <c r="G3" s="11" t="s">
        <v>369</v>
      </c>
      <c r="H3" s="11" t="s">
        <v>440</v>
      </c>
      <c r="I3" s="11" t="s">
        <v>51</v>
      </c>
      <c r="J3" s="11" t="s">
        <v>52</v>
      </c>
      <c r="K3" s="11" t="s">
        <v>73</v>
      </c>
      <c r="L3" s="416"/>
      <c r="M3" s="406"/>
      <c r="N3" s="403" t="s">
        <v>423</v>
      </c>
      <c r="S3" s="403" t="s">
        <v>423</v>
      </c>
    </row>
    <row r="4" spans="1:21">
      <c r="A4" s="198">
        <f>'LCA Vestas Onshore 2.0MW'!E4</f>
        <v>0</v>
      </c>
      <c r="B4" s="4">
        <f>'EROI vs IRR VestOnshore2MW'!D3</f>
        <v>-3635621.4355153013</v>
      </c>
      <c r="G4" s="181">
        <f>'JEDI Project data'!C62*_KWturb</f>
        <v>4064799.867318939</v>
      </c>
      <c r="H4" s="149"/>
      <c r="I4">
        <v>0</v>
      </c>
      <c r="J4" s="27">
        <f>-1*G4</f>
        <v>-4064799.867318939</v>
      </c>
      <c r="K4" s="27">
        <f>J4</f>
        <v>-4064799.867318939</v>
      </c>
      <c r="L4" s="416"/>
      <c r="M4" s="404">
        <v>2008</v>
      </c>
      <c r="N4" s="405">
        <v>-1065</v>
      </c>
      <c r="R4">
        <v>2008</v>
      </c>
      <c r="S4" s="27">
        <v>-1065</v>
      </c>
    </row>
    <row r="5" spans="1:21">
      <c r="A5" s="198">
        <f>'LCA Vestas Onshore 2.0MW'!E5</f>
        <v>1</v>
      </c>
      <c r="B5" s="4">
        <f>'EROI vs IRR VestOnshore2MW'!C4</f>
        <v>5634000</v>
      </c>
      <c r="C5" s="27">
        <f>$H$39*(1+$H$44)^A5*B5</f>
        <v>121863.42000000001</v>
      </c>
      <c r="D5" s="28">
        <f>H43</f>
        <v>4.7399999999999998E-2</v>
      </c>
      <c r="E5" s="27">
        <f>B5*D5</f>
        <v>267051.59999999998</v>
      </c>
      <c r="F5" s="27">
        <f>C5+E5</f>
        <v>388915.02</v>
      </c>
      <c r="G5" s="149"/>
      <c r="H5" s="181">
        <f>2000*'JEDI Project data'!C83</f>
        <v>39645.253559995734</v>
      </c>
      <c r="I5" s="27">
        <f>E5-H5</f>
        <v>227406.34644000424</v>
      </c>
      <c r="J5" s="27">
        <f>I5</f>
        <v>227406.34644000424</v>
      </c>
      <c r="K5" s="27">
        <f>K4+J5</f>
        <v>-3837393.5208789348</v>
      </c>
      <c r="L5" s="416"/>
      <c r="M5" s="404">
        <v>2009</v>
      </c>
      <c r="N5" s="405">
        <v>160.78</v>
      </c>
      <c r="R5">
        <f>R4+1</f>
        <v>2009</v>
      </c>
      <c r="S5" s="27">
        <v>84</v>
      </c>
    </row>
    <row r="6" spans="1:21">
      <c r="A6" s="198">
        <f>'LCA Vestas Onshore 2.0MW'!E6</f>
        <v>2</v>
      </c>
      <c r="B6" s="4">
        <f>'EROI vs IRR VestOnshore2MW'!C5</f>
        <v>5634000</v>
      </c>
      <c r="C6" s="27">
        <f>$H$39*(1+$H$44)^A6*B6</f>
        <v>125519.3226</v>
      </c>
      <c r="D6" s="28">
        <f t="shared" ref="D6:D24" si="0">D5*(1+H$44)</f>
        <v>4.8821999999999997E-2</v>
      </c>
      <c r="E6" s="27">
        <f t="shared" ref="E6:E34" si="1">B6*D6</f>
        <v>275063.14799999999</v>
      </c>
      <c r="F6" s="27">
        <f t="shared" ref="F6:F34" si="2">C6+E6</f>
        <v>400582.4706</v>
      </c>
      <c r="H6" s="27">
        <f t="shared" ref="H6:H24" si="3">H5*(1+H$45)</f>
        <v>40438.158631195649</v>
      </c>
      <c r="I6" s="27">
        <f t="shared" ref="I6:I34" si="4">E6-H6</f>
        <v>234624.98936880432</v>
      </c>
      <c r="J6" s="27">
        <f t="shared" ref="J6:J34" si="5">I6</f>
        <v>234624.98936880432</v>
      </c>
      <c r="K6" s="27">
        <f t="shared" ref="K6:K34" si="6">K5+J6</f>
        <v>-3602768.5315101305</v>
      </c>
      <c r="L6" s="416"/>
      <c r="M6" s="404">
        <v>2010</v>
      </c>
      <c r="N6" s="405">
        <v>140.35</v>
      </c>
      <c r="R6">
        <f t="shared" ref="R6:R34" si="7">R5+1</f>
        <v>2010</v>
      </c>
      <c r="S6" s="27">
        <v>61</v>
      </c>
    </row>
    <row r="7" spans="1:21">
      <c r="A7" s="198">
        <f>'LCA Vestas Onshore 2.0MW'!E7</f>
        <v>3</v>
      </c>
      <c r="B7" s="4">
        <f>'EROI vs IRR VestOnshore2MW'!C6</f>
        <v>5634000</v>
      </c>
      <c r="C7" s="27">
        <f t="shared" ref="C7:C14" si="8">$H$39*(1+$H$44)^A7*B7</f>
        <v>129284.90227800001</v>
      </c>
      <c r="D7" s="28">
        <f t="shared" si="0"/>
        <v>5.0286659999999997E-2</v>
      </c>
      <c r="E7" s="27">
        <f t="shared" si="1"/>
        <v>283315.04243999999</v>
      </c>
      <c r="F7" s="27">
        <f t="shared" si="2"/>
        <v>412599.94471800001</v>
      </c>
      <c r="H7" s="27">
        <f t="shared" si="3"/>
        <v>41246.921803819561</v>
      </c>
      <c r="I7" s="27">
        <f t="shared" si="4"/>
        <v>242068.12063618042</v>
      </c>
      <c r="J7" s="27">
        <f t="shared" si="5"/>
        <v>242068.12063618042</v>
      </c>
      <c r="K7" s="27">
        <f t="shared" si="6"/>
        <v>-3360700.41087395</v>
      </c>
      <c r="L7" s="416"/>
      <c r="M7" s="404">
        <v>2011</v>
      </c>
      <c r="N7" s="405">
        <v>150.19999999999999</v>
      </c>
      <c r="R7">
        <f t="shared" si="7"/>
        <v>2011</v>
      </c>
      <c r="S7" s="27">
        <v>69</v>
      </c>
    </row>
    <row r="8" spans="1:21">
      <c r="A8" s="198">
        <f>'LCA Vestas Onshore 2.0MW'!E8</f>
        <v>4</v>
      </c>
      <c r="B8" s="4">
        <f>'EROI vs IRR VestOnshore2MW'!C7</f>
        <v>5634000</v>
      </c>
      <c r="C8" s="27">
        <f t="shared" si="8"/>
        <v>133163.44934634</v>
      </c>
      <c r="D8" s="28">
        <f t="shared" si="0"/>
        <v>5.17952598E-2</v>
      </c>
      <c r="E8" s="27">
        <f t="shared" si="1"/>
        <v>291814.49371319998</v>
      </c>
      <c r="F8" s="27">
        <f t="shared" si="2"/>
        <v>424977.94305954</v>
      </c>
      <c r="H8" s="27">
        <f t="shared" si="3"/>
        <v>42071.860239895956</v>
      </c>
      <c r="I8" s="27">
        <f t="shared" si="4"/>
        <v>249742.63347330401</v>
      </c>
      <c r="J8" s="27">
        <f t="shared" si="5"/>
        <v>249742.63347330401</v>
      </c>
      <c r="K8" s="27">
        <f t="shared" si="6"/>
        <v>-3110957.7774006459</v>
      </c>
      <c r="L8" s="416"/>
      <c r="M8" s="404">
        <v>2012</v>
      </c>
      <c r="N8" s="405">
        <v>160.35</v>
      </c>
      <c r="R8">
        <f t="shared" si="7"/>
        <v>2012</v>
      </c>
      <c r="S8" s="27">
        <v>76</v>
      </c>
    </row>
    <row r="9" spans="1:21">
      <c r="A9" s="198">
        <f>'LCA Vestas Onshore 2.0MW'!E9</f>
        <v>5</v>
      </c>
      <c r="B9" s="4">
        <f>'EROI vs IRR VestOnshore2MW'!C8</f>
        <v>5634000</v>
      </c>
      <c r="C9" s="27">
        <f t="shared" si="8"/>
        <v>137158.35282673017</v>
      </c>
      <c r="D9" s="28">
        <f t="shared" si="0"/>
        <v>5.3349117594000003E-2</v>
      </c>
      <c r="E9" s="27">
        <f t="shared" si="1"/>
        <v>300568.92852459603</v>
      </c>
      <c r="F9" s="27">
        <f t="shared" si="2"/>
        <v>437727.28135132621</v>
      </c>
      <c r="H9" s="27">
        <f t="shared" si="3"/>
        <v>42913.297444693875</v>
      </c>
      <c r="I9" s="27">
        <f t="shared" si="4"/>
        <v>257655.63107990217</v>
      </c>
      <c r="J9" s="27">
        <f t="shared" si="5"/>
        <v>257655.63107990217</v>
      </c>
      <c r="K9" s="27">
        <f t="shared" si="6"/>
        <v>-2853302.1463207435</v>
      </c>
      <c r="L9" s="416"/>
      <c r="M9" s="404">
        <v>2013</v>
      </c>
      <c r="N9" s="405">
        <v>170.8</v>
      </c>
      <c r="R9">
        <f t="shared" si="7"/>
        <v>2013</v>
      </c>
      <c r="S9" s="27">
        <v>84</v>
      </c>
    </row>
    <row r="10" spans="1:21">
      <c r="A10" s="198">
        <f>'LCA Vestas Onshore 2.0MW'!E10</f>
        <v>6</v>
      </c>
      <c r="B10" s="4">
        <f>'EROI vs IRR VestOnshore2MW'!C9</f>
        <v>5634000</v>
      </c>
      <c r="C10" s="27">
        <f t="shared" si="8"/>
        <v>141273.10341153209</v>
      </c>
      <c r="D10" s="28">
        <f t="shared" si="0"/>
        <v>5.4949591121820004E-2</v>
      </c>
      <c r="E10" s="27">
        <f t="shared" si="1"/>
        <v>309585.99638033391</v>
      </c>
      <c r="F10" s="27">
        <f t="shared" si="2"/>
        <v>450859.09979186603</v>
      </c>
      <c r="H10" s="27">
        <f t="shared" si="3"/>
        <v>43771.563393587756</v>
      </c>
      <c r="I10" s="27">
        <f t="shared" si="4"/>
        <v>265814.43298674613</v>
      </c>
      <c r="J10" s="27">
        <f t="shared" si="5"/>
        <v>265814.43298674613</v>
      </c>
      <c r="K10" s="27">
        <f t="shared" si="6"/>
        <v>-2587487.7133339974</v>
      </c>
      <c r="L10" s="416"/>
      <c r="M10" s="404">
        <v>2014</v>
      </c>
      <c r="N10" s="405">
        <v>181.57</v>
      </c>
      <c r="R10">
        <f t="shared" si="7"/>
        <v>2014</v>
      </c>
      <c r="S10" s="27">
        <v>92</v>
      </c>
    </row>
    <row r="11" spans="1:21">
      <c r="A11" s="198">
        <f>'LCA Vestas Onshore 2.0MW'!E11</f>
        <v>7</v>
      </c>
      <c r="B11" s="4">
        <f>'EROI vs IRR VestOnshore2MW'!C10</f>
        <v>5634000</v>
      </c>
      <c r="C11" s="27">
        <f t="shared" si="8"/>
        <v>145511.29651387807</v>
      </c>
      <c r="D11" s="28">
        <f t="shared" si="0"/>
        <v>5.6598078855474604E-2</v>
      </c>
      <c r="E11" s="27">
        <f t="shared" si="1"/>
        <v>318873.57627174392</v>
      </c>
      <c r="F11" s="27">
        <f t="shared" si="2"/>
        <v>464384.87278562202</v>
      </c>
      <c r="H11" s="27">
        <f t="shared" si="3"/>
        <v>44646.99466145951</v>
      </c>
      <c r="I11" s="27">
        <f t="shared" si="4"/>
        <v>274226.5816102844</v>
      </c>
      <c r="J11" s="27">
        <f t="shared" si="5"/>
        <v>274226.5816102844</v>
      </c>
      <c r="K11" s="27">
        <f t="shared" si="6"/>
        <v>-2313261.1317237131</v>
      </c>
      <c r="L11" s="416"/>
      <c r="M11" s="404">
        <v>2015</v>
      </c>
      <c r="N11" s="405">
        <v>192.66</v>
      </c>
      <c r="R11">
        <f t="shared" si="7"/>
        <v>2015</v>
      </c>
      <c r="S11" s="27">
        <v>101</v>
      </c>
    </row>
    <row r="12" spans="1:21">
      <c r="A12" s="198">
        <f>'LCA Vestas Onshore 2.0MW'!E12</f>
        <v>8</v>
      </c>
      <c r="B12" s="4">
        <f>'EROI vs IRR VestOnshore2MW'!C11</f>
        <v>5634000</v>
      </c>
      <c r="C12" s="27">
        <f t="shared" si="8"/>
        <v>149876.63540929439</v>
      </c>
      <c r="D12" s="28">
        <f t="shared" si="0"/>
        <v>5.8296021221138847E-2</v>
      </c>
      <c r="E12" s="27">
        <f t="shared" si="1"/>
        <v>328439.78355989628</v>
      </c>
      <c r="F12" s="27">
        <f t="shared" si="2"/>
        <v>478316.41896919068</v>
      </c>
      <c r="H12" s="27">
        <f t="shared" si="3"/>
        <v>45539.934554688698</v>
      </c>
      <c r="I12" s="27">
        <f t="shared" si="4"/>
        <v>282899.84900520759</v>
      </c>
      <c r="J12" s="27">
        <f t="shared" si="5"/>
        <v>282899.84900520759</v>
      </c>
      <c r="K12" s="27">
        <f t="shared" si="6"/>
        <v>-2030361.2827185055</v>
      </c>
      <c r="L12" s="416"/>
      <c r="M12" s="404">
        <v>2016</v>
      </c>
      <c r="N12" s="405">
        <v>204.08</v>
      </c>
      <c r="R12">
        <f t="shared" si="7"/>
        <v>2016</v>
      </c>
      <c r="S12" s="27">
        <v>109</v>
      </c>
    </row>
    <row r="13" spans="1:21">
      <c r="A13" s="198">
        <f>'LCA Vestas Onshore 2.0MW'!E13</f>
        <v>9</v>
      </c>
      <c r="B13" s="4">
        <f>'EROI vs IRR VestOnshore2MW'!C12</f>
        <v>5634000</v>
      </c>
      <c r="C13" s="27">
        <f t="shared" si="8"/>
        <v>154372.93447157321</v>
      </c>
      <c r="D13" s="28">
        <f t="shared" si="0"/>
        <v>6.0044901857773017E-2</v>
      </c>
      <c r="E13" s="27">
        <f t="shared" si="1"/>
        <v>338292.97706669319</v>
      </c>
      <c r="F13" s="27">
        <f t="shared" si="2"/>
        <v>492665.9115382664</v>
      </c>
      <c r="H13" s="27">
        <f t="shared" si="3"/>
        <v>46450.733245782474</v>
      </c>
      <c r="I13" s="27">
        <f t="shared" si="4"/>
        <v>291842.24382091069</v>
      </c>
      <c r="J13" s="27">
        <f t="shared" si="5"/>
        <v>291842.24382091069</v>
      </c>
      <c r="K13" s="27">
        <f t="shared" si="6"/>
        <v>-1738519.0388975949</v>
      </c>
      <c r="L13" s="416"/>
      <c r="M13" s="404">
        <v>2017</v>
      </c>
      <c r="N13" s="405">
        <v>215.84</v>
      </c>
      <c r="R13">
        <f t="shared" si="7"/>
        <v>2017</v>
      </c>
      <c r="S13" s="27">
        <v>118</v>
      </c>
    </row>
    <row r="14" spans="1:21">
      <c r="A14" s="198">
        <f>'LCA Vestas Onshore 2.0MW'!E14</f>
        <v>10</v>
      </c>
      <c r="B14" s="4">
        <f>'EROI vs IRR VestOnshore2MW'!C13</f>
        <v>5634000</v>
      </c>
      <c r="C14" s="27">
        <f t="shared" si="8"/>
        <v>159004.12250572044</v>
      </c>
      <c r="D14" s="28">
        <f t="shared" si="0"/>
        <v>6.1846248913506208E-2</v>
      </c>
      <c r="E14" s="27">
        <f t="shared" si="1"/>
        <v>348441.76637869398</v>
      </c>
      <c r="F14" s="27">
        <f t="shared" si="2"/>
        <v>507445.88888441445</v>
      </c>
      <c r="H14" s="27">
        <f t="shared" si="3"/>
        <v>47379.747910698126</v>
      </c>
      <c r="I14" s="27">
        <f t="shared" si="4"/>
        <v>301062.01846799586</v>
      </c>
      <c r="J14" s="27">
        <f t="shared" si="5"/>
        <v>301062.01846799586</v>
      </c>
      <c r="K14" s="27">
        <f t="shared" si="6"/>
        <v>-1437457.0204295991</v>
      </c>
      <c r="L14" s="416"/>
      <c r="M14" s="404">
        <v>2018</v>
      </c>
      <c r="N14" s="405">
        <v>227.96</v>
      </c>
      <c r="R14">
        <f t="shared" si="7"/>
        <v>2018</v>
      </c>
      <c r="S14" s="27">
        <v>128</v>
      </c>
    </row>
    <row r="15" spans="1:21">
      <c r="A15" s="198">
        <f>'LCA Vestas Onshore 2.0MW'!E15</f>
        <v>11</v>
      </c>
      <c r="B15" s="4">
        <f>'EROI vs IRR VestOnshore2MW'!C14</f>
        <v>5634000</v>
      </c>
      <c r="D15" s="28">
        <f t="shared" si="0"/>
        <v>6.3701636380911392E-2</v>
      </c>
      <c r="E15" s="27">
        <f t="shared" si="1"/>
        <v>358895.01937005477</v>
      </c>
      <c r="F15" s="27">
        <f t="shared" si="2"/>
        <v>358895.01937005477</v>
      </c>
      <c r="H15" s="27">
        <f t="shared" si="3"/>
        <v>48327.342868912092</v>
      </c>
      <c r="I15" s="27">
        <f t="shared" si="4"/>
        <v>310567.67650114268</v>
      </c>
      <c r="J15" s="27">
        <f t="shared" si="5"/>
        <v>310567.67650114268</v>
      </c>
      <c r="K15" s="27">
        <f t="shared" si="6"/>
        <v>-1126889.3439284563</v>
      </c>
      <c r="L15" s="416"/>
      <c r="M15" s="404">
        <v>2019</v>
      </c>
      <c r="N15" s="405">
        <v>93.27</v>
      </c>
      <c r="R15">
        <f t="shared" si="7"/>
        <v>2019</v>
      </c>
      <c r="S15" s="27">
        <v>-10</v>
      </c>
    </row>
    <row r="16" spans="1:21">
      <c r="A16" s="198">
        <f>'LCA Vestas Onshore 2.0MW'!E16</f>
        <v>12</v>
      </c>
      <c r="B16" s="4">
        <f>'EROI vs IRR VestOnshore2MW'!C15</f>
        <v>5634000</v>
      </c>
      <c r="D16" s="28">
        <f t="shared" si="0"/>
        <v>6.5612685472338741E-2</v>
      </c>
      <c r="E16" s="27">
        <f t="shared" si="1"/>
        <v>369661.86995115649</v>
      </c>
      <c r="F16" s="27">
        <f t="shared" si="2"/>
        <v>369661.86995115649</v>
      </c>
      <c r="H16" s="27">
        <f t="shared" si="3"/>
        <v>49293.889726290334</v>
      </c>
      <c r="I16" s="27">
        <f t="shared" si="4"/>
        <v>320367.98022486619</v>
      </c>
      <c r="J16" s="27">
        <f t="shared" si="5"/>
        <v>320367.98022486619</v>
      </c>
      <c r="K16" s="27">
        <f>K15+J16</f>
        <v>-806521.36370359012</v>
      </c>
      <c r="L16" s="416"/>
      <c r="M16" s="404">
        <v>2020</v>
      </c>
      <c r="N16" s="405">
        <v>106.13</v>
      </c>
      <c r="P16" s="407" t="s">
        <v>424</v>
      </c>
      <c r="Q16" s="408">
        <v>5.87</v>
      </c>
      <c r="R16">
        <f t="shared" si="7"/>
        <v>2020</v>
      </c>
      <c r="S16" s="27">
        <v>0</v>
      </c>
      <c r="T16" s="407" t="s">
        <v>424</v>
      </c>
      <c r="U16" s="408">
        <v>4.74</v>
      </c>
    </row>
    <row r="17" spans="1:21">
      <c r="A17" s="198">
        <f>'LCA Vestas Onshore 2.0MW'!E17</f>
        <v>13</v>
      </c>
      <c r="B17" s="4">
        <f>'EROI vs IRR VestOnshore2MW'!C16</f>
        <v>5634000</v>
      </c>
      <c r="D17" s="28">
        <f t="shared" si="0"/>
        <v>6.7581066036508902E-2</v>
      </c>
      <c r="E17" s="27">
        <f t="shared" si="1"/>
        <v>380751.72604969115</v>
      </c>
      <c r="F17" s="27">
        <f t="shared" si="2"/>
        <v>380751.72604969115</v>
      </c>
      <c r="H17" s="27">
        <f t="shared" si="3"/>
        <v>50279.767520816138</v>
      </c>
      <c r="I17" s="27">
        <f t="shared" si="4"/>
        <v>330471.95852887502</v>
      </c>
      <c r="J17" s="27">
        <f t="shared" si="5"/>
        <v>330471.95852887502</v>
      </c>
      <c r="K17" s="27">
        <f t="shared" si="6"/>
        <v>-476049.4051747151</v>
      </c>
      <c r="L17" s="416"/>
      <c r="M17" s="404">
        <v>2021</v>
      </c>
      <c r="N17" s="405">
        <v>119.37</v>
      </c>
      <c r="P17" s="409" t="s">
        <v>425</v>
      </c>
      <c r="Q17" s="410">
        <v>3</v>
      </c>
      <c r="R17">
        <f t="shared" si="7"/>
        <v>2021</v>
      </c>
      <c r="S17" s="27">
        <v>10</v>
      </c>
      <c r="T17" s="409" t="s">
        <v>425</v>
      </c>
      <c r="U17" s="410">
        <v>3</v>
      </c>
    </row>
    <row r="18" spans="1:21">
      <c r="A18" s="198">
        <f>'LCA Vestas Onshore 2.0MW'!E18</f>
        <v>14</v>
      </c>
      <c r="B18" s="4">
        <f>'EROI vs IRR VestOnshore2MW'!C17</f>
        <v>5634000</v>
      </c>
      <c r="D18" s="28">
        <f t="shared" si="0"/>
        <v>6.9608498017604173E-2</v>
      </c>
      <c r="E18" s="27">
        <f t="shared" si="1"/>
        <v>392174.27783118188</v>
      </c>
      <c r="F18" s="27">
        <f t="shared" si="2"/>
        <v>392174.27783118188</v>
      </c>
      <c r="H18" s="27">
        <f t="shared" si="3"/>
        <v>51285.362871232464</v>
      </c>
      <c r="I18" s="27">
        <f t="shared" si="4"/>
        <v>340888.91495994944</v>
      </c>
      <c r="J18" s="27">
        <f t="shared" si="5"/>
        <v>340888.91495994944</v>
      </c>
      <c r="K18" s="27">
        <f t="shared" si="6"/>
        <v>-135160.49021476565</v>
      </c>
      <c r="L18" s="416"/>
      <c r="M18" s="404">
        <v>2022</v>
      </c>
      <c r="N18" s="405">
        <v>133.01</v>
      </c>
      <c r="P18" s="411"/>
      <c r="Q18" s="412"/>
      <c r="R18">
        <f t="shared" si="7"/>
        <v>2022</v>
      </c>
      <c r="S18" s="27">
        <v>20</v>
      </c>
      <c r="T18" s="411"/>
      <c r="U18" s="412"/>
    </row>
    <row r="19" spans="1:21">
      <c r="A19" s="198">
        <f>'LCA Vestas Onshore 2.0MW'!E19</f>
        <v>15</v>
      </c>
      <c r="B19" s="4">
        <f>'EROI vs IRR VestOnshore2MW'!C18</f>
        <v>5634000</v>
      </c>
      <c r="D19" s="28">
        <f t="shared" si="0"/>
        <v>7.1696752958132298E-2</v>
      </c>
      <c r="E19" s="27">
        <f t="shared" si="1"/>
        <v>403939.50616611738</v>
      </c>
      <c r="F19" s="27">
        <f t="shared" si="2"/>
        <v>403939.50616611738</v>
      </c>
      <c r="H19" s="27">
        <f t="shared" si="3"/>
        <v>52311.070128657113</v>
      </c>
      <c r="I19" s="27">
        <f t="shared" si="4"/>
        <v>351628.43603746028</v>
      </c>
      <c r="J19" s="27">
        <f t="shared" si="5"/>
        <v>351628.43603746028</v>
      </c>
      <c r="K19" s="27">
        <f t="shared" si="6"/>
        <v>216467.94582269463</v>
      </c>
      <c r="L19" s="416"/>
      <c r="M19" s="404">
        <v>2023</v>
      </c>
      <c r="N19" s="405">
        <v>147.06</v>
      </c>
      <c r="P19" s="409" t="s">
        <v>426</v>
      </c>
      <c r="Q19" s="410">
        <v>7.92</v>
      </c>
      <c r="R19">
        <f t="shared" si="7"/>
        <v>2023</v>
      </c>
      <c r="S19" s="27">
        <v>31</v>
      </c>
      <c r="T19" s="409" t="s">
        <v>426</v>
      </c>
      <c r="U19" s="410">
        <v>6.39</v>
      </c>
    </row>
    <row r="20" spans="1:21">
      <c r="A20" s="198">
        <f>'LCA Vestas Onshore 2.0MW'!E20</f>
        <v>16</v>
      </c>
      <c r="B20" s="4">
        <f>'EROI vs IRR VestOnshore2MW'!C19</f>
        <v>5634000</v>
      </c>
      <c r="D20" s="28">
        <f t="shared" si="0"/>
        <v>7.3847655546876265E-2</v>
      </c>
      <c r="E20" s="27">
        <f t="shared" si="1"/>
        <v>416057.69135110086</v>
      </c>
      <c r="F20" s="27">
        <f t="shared" si="2"/>
        <v>416057.69135110086</v>
      </c>
      <c r="H20" s="27">
        <f t="shared" si="3"/>
        <v>53357.291531230258</v>
      </c>
      <c r="I20" s="27">
        <f t="shared" si="4"/>
        <v>362700.3998198706</v>
      </c>
      <c r="J20" s="27">
        <f t="shared" si="5"/>
        <v>362700.3998198706</v>
      </c>
      <c r="K20" s="27">
        <f t="shared" si="6"/>
        <v>579168.34564256528</v>
      </c>
      <c r="L20" s="416"/>
      <c r="M20" s="404">
        <v>2024</v>
      </c>
      <c r="N20" s="405">
        <v>161.53</v>
      </c>
      <c r="P20" s="409" t="s">
        <v>427</v>
      </c>
      <c r="Q20" s="410">
        <v>5.7</v>
      </c>
      <c r="R20">
        <f t="shared" si="7"/>
        <v>2024</v>
      </c>
      <c r="S20" s="27">
        <v>42</v>
      </c>
      <c r="T20" s="409" t="s">
        <v>427</v>
      </c>
      <c r="U20" s="410">
        <v>4.5999999999999996</v>
      </c>
    </row>
    <row r="21" spans="1:21">
      <c r="A21" s="198">
        <f>'LCA Vestas Onshore 2.0MW'!E21</f>
        <v>17</v>
      </c>
      <c r="B21" s="4">
        <f>'EROI vs IRR VestOnshore2MW'!C20</f>
        <v>5634000</v>
      </c>
      <c r="D21" s="28">
        <f t="shared" si="0"/>
        <v>7.6063085213282561E-2</v>
      </c>
      <c r="E21" s="27">
        <f t="shared" si="1"/>
        <v>428539.42209163395</v>
      </c>
      <c r="F21" s="27">
        <f t="shared" si="2"/>
        <v>428539.42209163395</v>
      </c>
      <c r="H21" s="27">
        <f t="shared" si="3"/>
        <v>54424.437361854863</v>
      </c>
      <c r="I21" s="27">
        <f t="shared" si="4"/>
        <v>374114.98472977907</v>
      </c>
      <c r="J21" s="27">
        <f t="shared" si="5"/>
        <v>374114.98472977907</v>
      </c>
      <c r="K21" s="27">
        <f t="shared" si="6"/>
        <v>953283.33037234435</v>
      </c>
      <c r="L21" s="416"/>
      <c r="M21" s="404">
        <v>2025</v>
      </c>
      <c r="N21" s="405">
        <v>176.43</v>
      </c>
      <c r="P21" s="409" t="s">
        <v>428</v>
      </c>
      <c r="Q21" s="410">
        <v>4.7699999999999996</v>
      </c>
      <c r="R21">
        <f t="shared" si="7"/>
        <v>2025</v>
      </c>
      <c r="S21" s="27">
        <v>53</v>
      </c>
      <c r="T21" s="409" t="s">
        <v>428</v>
      </c>
      <c r="U21" s="410">
        <v>4.7699999999999996</v>
      </c>
    </row>
    <row r="22" spans="1:21">
      <c r="A22" s="198">
        <f>'LCA Vestas Onshore 2.0MW'!E22</f>
        <v>18</v>
      </c>
      <c r="B22" s="4">
        <f>'EROI vs IRR VestOnshore2MW'!C21</f>
        <v>5634000</v>
      </c>
      <c r="D22" s="28">
        <f t="shared" si="0"/>
        <v>7.8344977769681037E-2</v>
      </c>
      <c r="E22" s="27">
        <f t="shared" si="1"/>
        <v>441395.60475438298</v>
      </c>
      <c r="F22" s="27">
        <f t="shared" si="2"/>
        <v>441395.60475438298</v>
      </c>
      <c r="H22" s="27">
        <f t="shared" si="3"/>
        <v>55512.926109091961</v>
      </c>
      <c r="I22" s="27">
        <f t="shared" si="4"/>
        <v>385882.67864529102</v>
      </c>
      <c r="J22" s="27">
        <f t="shared" si="5"/>
        <v>385882.67864529102</v>
      </c>
      <c r="K22" s="27">
        <f t="shared" si="6"/>
        <v>1339166.0090176354</v>
      </c>
      <c r="L22" s="416"/>
      <c r="M22" s="404">
        <v>2026</v>
      </c>
      <c r="N22" s="405">
        <v>191.78</v>
      </c>
      <c r="P22" s="409" t="s">
        <v>429</v>
      </c>
      <c r="Q22" s="410">
        <v>7</v>
      </c>
      <c r="R22">
        <f t="shared" si="7"/>
        <v>2026</v>
      </c>
      <c r="S22" s="27">
        <v>65</v>
      </c>
      <c r="T22" s="409" t="s">
        <v>429</v>
      </c>
      <c r="U22" s="410">
        <v>17</v>
      </c>
    </row>
    <row r="23" spans="1:21">
      <c r="A23" s="198">
        <f>'LCA Vestas Onshore 2.0MW'!E23</f>
        <v>19</v>
      </c>
      <c r="B23" s="4">
        <f>'EROI vs IRR VestOnshore2MW'!C22</f>
        <v>5634000</v>
      </c>
      <c r="D23" s="28">
        <f t="shared" si="0"/>
        <v>8.0695327102771469E-2</v>
      </c>
      <c r="E23" s="27">
        <f t="shared" si="1"/>
        <v>454637.47289701446</v>
      </c>
      <c r="F23" s="27">
        <f t="shared" si="2"/>
        <v>454637.47289701446</v>
      </c>
      <c r="H23" s="27">
        <f t="shared" si="3"/>
        <v>56623.184631273798</v>
      </c>
      <c r="I23" s="27">
        <f t="shared" si="4"/>
        <v>398014.28826574067</v>
      </c>
      <c r="J23" s="27">
        <f t="shared" si="5"/>
        <v>398014.28826574067</v>
      </c>
      <c r="K23" s="27">
        <f t="shared" si="6"/>
        <v>1737180.2972833761</v>
      </c>
      <c r="L23" s="416"/>
      <c r="M23" s="404">
        <v>2027</v>
      </c>
      <c r="N23" s="405">
        <v>207.59</v>
      </c>
      <c r="P23" s="409" t="s">
        <v>430</v>
      </c>
      <c r="Q23" s="413">
        <v>1050</v>
      </c>
      <c r="R23">
        <f t="shared" si="7"/>
        <v>2027</v>
      </c>
      <c r="S23" s="27">
        <v>77</v>
      </c>
      <c r="T23" s="409" t="s">
        <v>430</v>
      </c>
      <c r="U23" s="410">
        <v>-31</v>
      </c>
    </row>
    <row r="24" spans="1:21">
      <c r="A24" s="198">
        <f>'LCA Vestas Onshore 2.0MW'!E24</f>
        <v>20</v>
      </c>
      <c r="B24" s="4">
        <f>'EROI vs IRR VestOnshore2MW'!C23</f>
        <v>5634000</v>
      </c>
      <c r="D24" s="28">
        <f t="shared" si="0"/>
        <v>8.3116186915854609E-2</v>
      </c>
      <c r="E24" s="27">
        <f t="shared" si="1"/>
        <v>468276.59708392486</v>
      </c>
      <c r="F24" s="27">
        <f t="shared" si="2"/>
        <v>468276.59708392486</v>
      </c>
      <c r="H24" s="27">
        <f t="shared" si="3"/>
        <v>57755.648323899273</v>
      </c>
      <c r="I24" s="27">
        <f t="shared" si="4"/>
        <v>410520.94876002561</v>
      </c>
      <c r="J24" s="27">
        <f t="shared" si="5"/>
        <v>410520.94876002561</v>
      </c>
      <c r="K24" s="27">
        <f t="shared" si="6"/>
        <v>2147701.2460434018</v>
      </c>
      <c r="L24" s="416"/>
      <c r="M24" s="404">
        <v>2028</v>
      </c>
      <c r="N24" s="405">
        <v>223.87</v>
      </c>
      <c r="P24" s="411"/>
      <c r="Q24" s="412"/>
      <c r="R24">
        <f t="shared" si="7"/>
        <v>2028</v>
      </c>
      <c r="S24" s="27">
        <v>89</v>
      </c>
      <c r="T24" s="411"/>
      <c r="U24" s="412"/>
    </row>
    <row r="25" spans="1:21">
      <c r="A25" s="198">
        <f>1+A24</f>
        <v>21</v>
      </c>
      <c r="B25" s="4">
        <f>B24</f>
        <v>5634000</v>
      </c>
      <c r="D25" s="28">
        <f t="shared" ref="D25:D34" si="9">D24*(1+H$44)</f>
        <v>8.5609672523330252E-2</v>
      </c>
      <c r="E25" s="27">
        <f t="shared" si="1"/>
        <v>482324.89499644266</v>
      </c>
      <c r="F25" s="27">
        <f t="shared" si="2"/>
        <v>482324.89499644266</v>
      </c>
      <c r="H25" s="27">
        <f t="shared" ref="H25:H34" si="10">H24*(1+H$45)</f>
        <v>58910.761290377261</v>
      </c>
      <c r="I25" s="27">
        <f t="shared" si="4"/>
        <v>423414.13370606542</v>
      </c>
      <c r="J25" s="27">
        <f t="shared" si="5"/>
        <v>423414.13370606542</v>
      </c>
      <c r="K25" s="27">
        <f t="shared" si="6"/>
        <v>2571115.3797494671</v>
      </c>
      <c r="L25" s="416"/>
      <c r="M25" s="404">
        <v>2029</v>
      </c>
      <c r="N25" s="405">
        <v>240.65</v>
      </c>
      <c r="P25" s="409" t="s">
        <v>431</v>
      </c>
      <c r="Q25" s="410">
        <v>15.22</v>
      </c>
      <c r="R25">
        <f t="shared" si="7"/>
        <v>2029</v>
      </c>
      <c r="S25" s="27">
        <v>102</v>
      </c>
      <c r="T25" s="409" t="s">
        <v>431</v>
      </c>
      <c r="U25" s="410" t="s">
        <v>442</v>
      </c>
    </row>
    <row r="26" spans="1:21">
      <c r="A26" s="198">
        <f t="shared" ref="A26:A34" si="11">1+A25</f>
        <v>22</v>
      </c>
      <c r="B26" s="4">
        <f t="shared" ref="B26:B34" si="12">B25</f>
        <v>5634000</v>
      </c>
      <c r="D26" s="28">
        <f t="shared" si="9"/>
        <v>8.8177962699030166E-2</v>
      </c>
      <c r="E26" s="27">
        <f t="shared" si="1"/>
        <v>496794.64184633596</v>
      </c>
      <c r="F26" s="27">
        <f t="shared" si="2"/>
        <v>496794.64184633596</v>
      </c>
      <c r="H26" s="27">
        <f t="shared" si="10"/>
        <v>60088.976516184804</v>
      </c>
      <c r="I26" s="27">
        <f t="shared" si="4"/>
        <v>436705.66533015115</v>
      </c>
      <c r="J26" s="27">
        <f t="shared" si="5"/>
        <v>436705.66533015115</v>
      </c>
      <c r="K26" s="27">
        <f t="shared" si="6"/>
        <v>3007821.0450796182</v>
      </c>
      <c r="L26" s="416"/>
      <c r="M26" s="404">
        <v>2030</v>
      </c>
      <c r="N26" s="405">
        <v>257.92</v>
      </c>
      <c r="P26" s="409" t="s">
        <v>432</v>
      </c>
      <c r="Q26" s="410">
        <v>15.99</v>
      </c>
      <c r="R26">
        <f t="shared" si="7"/>
        <v>2030</v>
      </c>
      <c r="S26" s="27">
        <v>115</v>
      </c>
      <c r="T26" s="409" t="s">
        <v>432</v>
      </c>
      <c r="U26" s="410">
        <v>7.75</v>
      </c>
    </row>
    <row r="27" spans="1:21">
      <c r="A27" s="198">
        <f t="shared" si="11"/>
        <v>23</v>
      </c>
      <c r="B27" s="4">
        <f t="shared" si="12"/>
        <v>5634000</v>
      </c>
      <c r="D27" s="28">
        <f t="shared" si="9"/>
        <v>9.082330158000107E-2</v>
      </c>
      <c r="E27" s="27">
        <f t="shared" si="1"/>
        <v>511698.48110172601</v>
      </c>
      <c r="F27" s="27">
        <f t="shared" si="2"/>
        <v>511698.48110172601</v>
      </c>
      <c r="H27" s="27">
        <f t="shared" si="10"/>
        <v>61290.756046508504</v>
      </c>
      <c r="I27" s="27">
        <f t="shared" si="4"/>
        <v>450407.72505521751</v>
      </c>
      <c r="J27" s="27">
        <f t="shared" si="5"/>
        <v>450407.72505521751</v>
      </c>
      <c r="K27" s="27">
        <f t="shared" si="6"/>
        <v>3458228.7701348355</v>
      </c>
      <c r="L27" s="416"/>
      <c r="M27" s="404">
        <v>2031</v>
      </c>
      <c r="N27" s="405">
        <v>275.72000000000003</v>
      </c>
      <c r="P27" s="409" t="s">
        <v>433</v>
      </c>
      <c r="Q27" s="410">
        <v>1.27</v>
      </c>
      <c r="R27">
        <f t="shared" si="7"/>
        <v>2031</v>
      </c>
      <c r="S27" s="27">
        <v>128</v>
      </c>
      <c r="T27" s="409" t="s">
        <v>433</v>
      </c>
      <c r="U27" s="410" t="s">
        <v>442</v>
      </c>
    </row>
    <row r="28" spans="1:21">
      <c r="A28" s="198">
        <f t="shared" si="11"/>
        <v>24</v>
      </c>
      <c r="B28" s="4">
        <f t="shared" si="12"/>
        <v>5634000</v>
      </c>
      <c r="D28" s="28">
        <f t="shared" si="9"/>
        <v>9.3548000627401109E-2</v>
      </c>
      <c r="E28" s="27">
        <f t="shared" si="1"/>
        <v>527049.43553477782</v>
      </c>
      <c r="F28" s="27">
        <f t="shared" si="2"/>
        <v>527049.43553477782</v>
      </c>
      <c r="H28" s="27">
        <f t="shared" si="10"/>
        <v>62516.571167438677</v>
      </c>
      <c r="I28" s="27">
        <f t="shared" si="4"/>
        <v>464532.86436733912</v>
      </c>
      <c r="J28" s="27">
        <f t="shared" si="5"/>
        <v>464532.86436733912</v>
      </c>
      <c r="K28" s="27">
        <f t="shared" si="6"/>
        <v>3922761.6345021748</v>
      </c>
      <c r="L28" s="416"/>
      <c r="M28" s="404">
        <v>2032</v>
      </c>
      <c r="N28" s="405">
        <v>294.05</v>
      </c>
      <c r="P28" s="409" t="s">
        <v>434</v>
      </c>
      <c r="Q28" s="410">
        <v>1.27</v>
      </c>
      <c r="R28">
        <f t="shared" si="7"/>
        <v>2032</v>
      </c>
      <c r="S28" s="27">
        <v>142</v>
      </c>
      <c r="T28" s="409" t="s">
        <v>434</v>
      </c>
      <c r="U28" s="410">
        <v>0.97</v>
      </c>
    </row>
    <row r="29" spans="1:21">
      <c r="A29" s="198">
        <f t="shared" si="11"/>
        <v>25</v>
      </c>
      <c r="B29" s="4">
        <f t="shared" si="12"/>
        <v>5634000</v>
      </c>
      <c r="D29" s="28">
        <f t="shared" si="9"/>
        <v>9.6354440646223144E-2</v>
      </c>
      <c r="E29" s="27">
        <f t="shared" si="1"/>
        <v>542860.91860082117</v>
      </c>
      <c r="F29" s="27">
        <f t="shared" si="2"/>
        <v>542860.91860082117</v>
      </c>
      <c r="H29" s="27">
        <f t="shared" si="10"/>
        <v>63766.902590787453</v>
      </c>
      <c r="I29" s="27">
        <f t="shared" si="4"/>
        <v>479094.01601003372</v>
      </c>
      <c r="J29" s="27">
        <f t="shared" si="5"/>
        <v>479094.01601003372</v>
      </c>
      <c r="K29" s="27">
        <f t="shared" si="6"/>
        <v>4401855.6505122082</v>
      </c>
      <c r="L29" s="416"/>
      <c r="M29" s="404">
        <v>2033</v>
      </c>
      <c r="N29" s="405">
        <v>312.93</v>
      </c>
      <c r="P29" s="409" t="s">
        <v>435</v>
      </c>
      <c r="Q29" s="410">
        <v>11</v>
      </c>
      <c r="R29">
        <f t="shared" si="7"/>
        <v>2033</v>
      </c>
      <c r="S29" s="27">
        <v>157</v>
      </c>
      <c r="T29" s="409" t="s">
        <v>435</v>
      </c>
      <c r="U29" s="410">
        <v>11</v>
      </c>
    </row>
    <row r="30" spans="1:21">
      <c r="A30" s="198">
        <f t="shared" si="11"/>
        <v>26</v>
      </c>
      <c r="B30" s="4">
        <f t="shared" si="12"/>
        <v>5634000</v>
      </c>
      <c r="D30" s="28">
        <f t="shared" si="9"/>
        <v>9.9245073865609837E-2</v>
      </c>
      <c r="E30" s="27">
        <f t="shared" si="1"/>
        <v>559146.74615884584</v>
      </c>
      <c r="F30" s="27">
        <f t="shared" si="2"/>
        <v>559146.74615884584</v>
      </c>
      <c r="H30" s="27">
        <f t="shared" si="10"/>
        <v>65042.240642603203</v>
      </c>
      <c r="I30" s="27">
        <f t="shared" si="4"/>
        <v>494104.50551624264</v>
      </c>
      <c r="J30" s="27">
        <f t="shared" si="5"/>
        <v>494104.50551624264</v>
      </c>
      <c r="K30" s="27">
        <f t="shared" si="6"/>
        <v>4895960.1560284505</v>
      </c>
      <c r="L30" s="416"/>
      <c r="M30" s="404">
        <v>2034</v>
      </c>
      <c r="N30" s="405">
        <v>332.37</v>
      </c>
      <c r="P30" s="409" t="s">
        <v>436</v>
      </c>
      <c r="Q30" s="410">
        <v>1.34</v>
      </c>
      <c r="R30">
        <f t="shared" si="7"/>
        <v>2034</v>
      </c>
      <c r="S30" s="27">
        <v>171</v>
      </c>
      <c r="T30" s="409" t="s">
        <v>436</v>
      </c>
      <c r="U30" s="410" t="s">
        <v>442</v>
      </c>
    </row>
    <row r="31" spans="1:21">
      <c r="A31" s="198">
        <f t="shared" si="11"/>
        <v>27</v>
      </c>
      <c r="B31" s="4">
        <f t="shared" si="12"/>
        <v>5634000</v>
      </c>
      <c r="D31" s="28">
        <f t="shared" si="9"/>
        <v>0.10222242608157814</v>
      </c>
      <c r="E31" s="27">
        <f t="shared" si="1"/>
        <v>575921.14854361129</v>
      </c>
      <c r="F31" s="27">
        <f t="shared" si="2"/>
        <v>575921.14854361129</v>
      </c>
      <c r="H31" s="27">
        <f t="shared" si="10"/>
        <v>66343.085455455264</v>
      </c>
      <c r="I31" s="27">
        <f t="shared" si="4"/>
        <v>509578.06308815605</v>
      </c>
      <c r="J31" s="27">
        <f t="shared" si="5"/>
        <v>509578.06308815605</v>
      </c>
      <c r="K31" s="27">
        <f t="shared" si="6"/>
        <v>5405538.2191166067</v>
      </c>
      <c r="L31" s="416"/>
      <c r="M31" s="404">
        <v>2035</v>
      </c>
      <c r="N31" s="405">
        <v>352.4</v>
      </c>
      <c r="P31" s="409" t="s">
        <v>437</v>
      </c>
      <c r="Q31" s="410">
        <v>1.6</v>
      </c>
      <c r="R31">
        <f t="shared" si="7"/>
        <v>2035</v>
      </c>
      <c r="S31" s="27">
        <v>186</v>
      </c>
      <c r="T31" s="409" t="s">
        <v>437</v>
      </c>
      <c r="U31" s="410">
        <v>1.26</v>
      </c>
    </row>
    <row r="32" spans="1:21" ht="14.25" customHeight="1">
      <c r="A32" s="198">
        <f t="shared" si="11"/>
        <v>28</v>
      </c>
      <c r="B32" s="4">
        <f t="shared" si="12"/>
        <v>5634000</v>
      </c>
      <c r="D32" s="28">
        <f t="shared" si="9"/>
        <v>0.10528909886402549</v>
      </c>
      <c r="E32" s="27">
        <f t="shared" si="1"/>
        <v>593198.78299991961</v>
      </c>
      <c r="F32" s="27">
        <f t="shared" si="2"/>
        <v>593198.78299991961</v>
      </c>
      <c r="H32" s="27">
        <f t="shared" si="10"/>
        <v>67669.947164564364</v>
      </c>
      <c r="I32" s="27">
        <f t="shared" si="4"/>
        <v>525528.83583535522</v>
      </c>
      <c r="J32" s="27">
        <f t="shared" si="5"/>
        <v>525528.83583535522</v>
      </c>
      <c r="K32" s="27">
        <f t="shared" si="6"/>
        <v>5931067.0549519621</v>
      </c>
      <c r="L32" s="416"/>
      <c r="M32" s="404">
        <v>2036</v>
      </c>
      <c r="N32" s="405">
        <v>373.03</v>
      </c>
      <c r="P32" s="411"/>
      <c r="Q32" s="412"/>
      <c r="R32">
        <f t="shared" si="7"/>
        <v>2036</v>
      </c>
      <c r="S32" s="27">
        <v>202</v>
      </c>
      <c r="T32" s="411"/>
      <c r="U32" s="412"/>
    </row>
    <row r="33" spans="1:21">
      <c r="A33" s="198">
        <f t="shared" si="11"/>
        <v>29</v>
      </c>
      <c r="B33" s="4">
        <f t="shared" si="12"/>
        <v>5634000</v>
      </c>
      <c r="D33" s="28">
        <f t="shared" si="9"/>
        <v>0.10844777182994625</v>
      </c>
      <c r="E33" s="27">
        <f t="shared" si="1"/>
        <v>610994.74648991716</v>
      </c>
      <c r="F33" s="27">
        <f t="shared" si="2"/>
        <v>610994.74648991716</v>
      </c>
      <c r="H33" s="27">
        <f t="shared" si="10"/>
        <v>69023.346107855657</v>
      </c>
      <c r="I33" s="27">
        <f t="shared" si="4"/>
        <v>541971.40038206149</v>
      </c>
      <c r="J33" s="27">
        <f t="shared" si="5"/>
        <v>541971.40038206149</v>
      </c>
      <c r="K33" s="27">
        <f t="shared" si="6"/>
        <v>6473038.4553340236</v>
      </c>
      <c r="L33" s="416"/>
      <c r="M33" s="404">
        <v>2037</v>
      </c>
      <c r="N33" s="405">
        <v>1188.52</v>
      </c>
      <c r="P33" s="409" t="s">
        <v>438</v>
      </c>
      <c r="Q33" s="413">
        <v>7008</v>
      </c>
      <c r="R33">
        <f t="shared" si="7"/>
        <v>2037</v>
      </c>
      <c r="S33" s="27">
        <v>1013</v>
      </c>
      <c r="T33" s="417" t="s">
        <v>438</v>
      </c>
      <c r="U33" s="418">
        <v>7008</v>
      </c>
    </row>
    <row r="34" spans="1:21">
      <c r="A34" s="198">
        <f t="shared" si="11"/>
        <v>30</v>
      </c>
      <c r="B34" s="4">
        <f t="shared" si="12"/>
        <v>5634000</v>
      </c>
      <c r="D34" s="28">
        <f t="shared" si="9"/>
        <v>0.11170120498484463</v>
      </c>
      <c r="E34" s="27">
        <f t="shared" si="1"/>
        <v>629324.58888461464</v>
      </c>
      <c r="F34" s="27">
        <f t="shared" si="2"/>
        <v>629324.58888461464</v>
      </c>
      <c r="H34" s="27">
        <f t="shared" si="10"/>
        <v>70403.813030012767</v>
      </c>
      <c r="I34" s="27">
        <f t="shared" si="4"/>
        <v>558920.77585460187</v>
      </c>
      <c r="J34" s="27">
        <f t="shared" si="5"/>
        <v>558920.77585460187</v>
      </c>
      <c r="K34" s="27">
        <f t="shared" si="6"/>
        <v>7031959.2311886251</v>
      </c>
      <c r="L34" s="416"/>
      <c r="M34" s="404">
        <v>2038</v>
      </c>
      <c r="N34" s="405">
        <v>751.4</v>
      </c>
      <c r="P34" s="414"/>
      <c r="Q34" s="415"/>
      <c r="R34">
        <f t="shared" si="7"/>
        <v>2038</v>
      </c>
      <c r="S34" s="27">
        <v>570</v>
      </c>
    </row>
    <row r="35" spans="1:21">
      <c r="L35" s="416"/>
    </row>
    <row r="36" spans="1:21">
      <c r="L36" s="416"/>
    </row>
    <row r="37" spans="1:21">
      <c r="L37" s="416"/>
    </row>
    <row r="38" spans="1:21">
      <c r="A38" s="194" t="s">
        <v>53</v>
      </c>
      <c r="B38" s="26"/>
      <c r="L38" s="416"/>
    </row>
    <row r="39" spans="1:21">
      <c r="A39" s="30" t="s">
        <v>415</v>
      </c>
      <c r="B39" s="30"/>
      <c r="C39" s="192"/>
      <c r="D39" s="30"/>
      <c r="E39" s="30"/>
      <c r="F39" s="30"/>
      <c r="G39" s="30"/>
      <c r="H39" s="281">
        <v>2.1000000000000001E-2</v>
      </c>
      <c r="L39" s="416"/>
    </row>
    <row r="40" spans="1:21">
      <c r="A40" s="30" t="s">
        <v>420</v>
      </c>
      <c r="B40" s="30"/>
      <c r="C40" s="192"/>
      <c r="D40" s="30"/>
      <c r="E40" s="30"/>
      <c r="F40" s="30"/>
      <c r="G40" s="30"/>
      <c r="H40" s="281"/>
      <c r="L40" s="416"/>
    </row>
    <row r="41" spans="1:21">
      <c r="A41" s="30" t="s">
        <v>417</v>
      </c>
      <c r="B41" s="30"/>
      <c r="C41" s="192"/>
      <c r="D41" s="30"/>
      <c r="E41" s="30"/>
      <c r="F41" s="30"/>
      <c r="G41" s="30"/>
      <c r="H41" s="65">
        <v>2.9399999999999999E-2</v>
      </c>
      <c r="L41" s="416"/>
    </row>
    <row r="42" spans="1:21">
      <c r="A42" s="30" t="s">
        <v>418</v>
      </c>
      <c r="B42" s="30"/>
      <c r="C42" s="192"/>
      <c r="D42" s="30"/>
      <c r="E42" s="30"/>
      <c r="F42" s="30"/>
      <c r="G42" s="30"/>
      <c r="H42" s="65">
        <v>6.54E-2</v>
      </c>
      <c r="L42" s="416"/>
    </row>
    <row r="43" spans="1:21">
      <c r="A43" s="30" t="s">
        <v>419</v>
      </c>
      <c r="B43" s="30"/>
      <c r="C43" s="192"/>
      <c r="D43" s="30"/>
      <c r="E43" s="30"/>
      <c r="F43" s="30"/>
      <c r="G43" s="30"/>
      <c r="H43" s="65">
        <f>AVERAGE(H41:H42)</f>
        <v>4.7399999999999998E-2</v>
      </c>
      <c r="L43" s="416"/>
    </row>
    <row r="44" spans="1:21">
      <c r="A44" s="195" t="s">
        <v>54</v>
      </c>
      <c r="B44" s="29"/>
      <c r="C44" s="192"/>
      <c r="D44" s="30"/>
      <c r="E44" s="30"/>
      <c r="F44" s="30"/>
      <c r="G44" s="30"/>
      <c r="H44" s="31">
        <v>0.03</v>
      </c>
      <c r="L44" s="416"/>
    </row>
    <row r="45" spans="1:21">
      <c r="A45" s="195" t="s">
        <v>55</v>
      </c>
      <c r="B45" s="29"/>
      <c r="C45" s="192"/>
      <c r="D45" s="30"/>
      <c r="E45" s="30"/>
      <c r="F45" s="30"/>
      <c r="G45" s="30"/>
      <c r="H45" s="31">
        <f>0.02</f>
        <v>0.02</v>
      </c>
      <c r="L45" s="416"/>
    </row>
    <row r="46" spans="1:21">
      <c r="A46" s="195" t="s">
        <v>56</v>
      </c>
      <c r="B46" s="29"/>
      <c r="C46" s="192"/>
      <c r="D46" s="30"/>
      <c r="E46" s="30"/>
      <c r="F46" s="30"/>
      <c r="G46" s="30"/>
      <c r="H46" s="31">
        <v>0.08</v>
      </c>
      <c r="L46" s="416"/>
    </row>
    <row r="47" spans="1:21">
      <c r="L47" s="416"/>
    </row>
    <row r="48" spans="1:21">
      <c r="A48" s="196" t="s">
        <v>57</v>
      </c>
      <c r="L48" s="416"/>
    </row>
    <row r="49" spans="1:12">
      <c r="A49" s="197" t="s">
        <v>58</v>
      </c>
      <c r="B49" s="32"/>
      <c r="C49" s="193"/>
      <c r="D49" s="32"/>
      <c r="E49" s="32"/>
      <c r="F49" s="32"/>
      <c r="G49" s="32"/>
      <c r="H49" s="33">
        <f>IRR(J4:J24)</f>
        <v>3.9742797627192128E-2</v>
      </c>
      <c r="L49" s="416"/>
    </row>
    <row r="50" spans="1:12">
      <c r="A50" s="197" t="s">
        <v>59</v>
      </c>
      <c r="B50" s="32"/>
      <c r="C50" s="193"/>
      <c r="D50" s="32"/>
      <c r="E50" s="32"/>
      <c r="F50" s="32"/>
      <c r="G50" s="32"/>
      <c r="H50" s="34">
        <f>NPV(H46,I4:I24)</f>
        <v>2612307.634911404</v>
      </c>
      <c r="L50" s="416"/>
    </row>
    <row r="51" spans="1:12">
      <c r="A51" s="197" t="s">
        <v>60</v>
      </c>
      <c r="B51" s="32"/>
      <c r="C51" s="193"/>
      <c r="D51" s="32"/>
      <c r="E51" s="32"/>
      <c r="F51" s="32"/>
      <c r="G51" s="32"/>
      <c r="H51" s="33">
        <f>(H5*20)/G4</f>
        <v>0.19506620180119694</v>
      </c>
      <c r="L51" s="416"/>
    </row>
    <row r="52" spans="1:12">
      <c r="A52" s="197" t="s">
        <v>61</v>
      </c>
      <c r="B52" s="32"/>
      <c r="C52" s="193"/>
      <c r="D52" s="32"/>
      <c r="E52" s="32"/>
      <c r="F52" s="32"/>
      <c r="G52" s="32"/>
      <c r="H52" s="33">
        <f>(H50-G4)/G4</f>
        <v>-0.35733425502337707</v>
      </c>
      <c r="L52" s="416"/>
    </row>
    <row r="53" spans="1:12">
      <c r="L53" s="416"/>
    </row>
    <row r="54" spans="1:12">
      <c r="L54" s="416"/>
    </row>
    <row r="55" spans="1:12">
      <c r="L55" s="416"/>
    </row>
    <row r="56" spans="1:12">
      <c r="L56" s="416"/>
    </row>
  </sheetData>
  <phoneticPr fontId="45"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3"/>
  <dimension ref="A1:I122"/>
  <sheetViews>
    <sheetView topLeftCell="A55" zoomScale="85" zoomScaleNormal="85" workbookViewId="0">
      <selection activeCell="C20" sqref="C20"/>
    </sheetView>
  </sheetViews>
  <sheetFormatPr defaultRowHeight="15"/>
  <cols>
    <col min="1" max="1" width="54" customWidth="1"/>
    <col min="2" max="2" width="16.7109375" customWidth="1"/>
    <col min="3" max="3" width="11.5703125" customWidth="1"/>
    <col min="4" max="4" width="11.7109375" customWidth="1"/>
    <col min="5" max="5" width="14.85546875" customWidth="1"/>
    <col min="6" max="6" width="14.85546875" bestFit="1" customWidth="1"/>
    <col min="7" max="7" width="12.42578125" style="177" customWidth="1"/>
    <col min="9" max="9" width="13.42578125" customWidth="1"/>
  </cols>
  <sheetData>
    <row r="1" spans="1:5" ht="18">
      <c r="A1" s="60" t="s">
        <v>101</v>
      </c>
      <c r="B1" s="61"/>
      <c r="C1" s="61"/>
      <c r="D1" s="61"/>
      <c r="E1" s="61"/>
    </row>
    <row r="2" spans="1:5" ht="18">
      <c r="A2" s="60"/>
      <c r="B2" s="61"/>
      <c r="C2" s="61"/>
      <c r="D2" s="61"/>
      <c r="E2" s="61"/>
    </row>
    <row r="3" spans="1:5">
      <c r="A3" s="62" t="s">
        <v>102</v>
      </c>
      <c r="B3" s="63"/>
      <c r="C3" s="63"/>
      <c r="D3" s="63"/>
      <c r="E3" s="63"/>
    </row>
    <row r="4" spans="1:5">
      <c r="A4" s="62" t="s">
        <v>103</v>
      </c>
      <c r="B4" s="63"/>
      <c r="C4" s="63"/>
      <c r="D4" s="63"/>
      <c r="E4" s="63"/>
    </row>
    <row r="5" spans="1:5">
      <c r="A5" s="62" t="s">
        <v>104</v>
      </c>
      <c r="B5" s="63"/>
      <c r="C5" s="63"/>
      <c r="D5" s="63"/>
      <c r="E5" s="63"/>
    </row>
    <row r="6" spans="1:5">
      <c r="A6" s="62" t="s">
        <v>105</v>
      </c>
      <c r="B6" s="63"/>
      <c r="C6" s="63"/>
      <c r="D6" s="63"/>
      <c r="E6" s="63"/>
    </row>
    <row r="7" spans="1:5">
      <c r="A7" s="62" t="s">
        <v>106</v>
      </c>
      <c r="B7" s="63"/>
      <c r="C7" s="63"/>
      <c r="D7" s="63"/>
      <c r="E7" s="63"/>
    </row>
    <row r="8" spans="1:5">
      <c r="A8" s="62" t="s">
        <v>107</v>
      </c>
      <c r="B8" s="63"/>
      <c r="C8" s="63"/>
      <c r="D8" s="63"/>
      <c r="E8" s="63"/>
    </row>
    <row r="9" spans="1:5">
      <c r="A9" s="62" t="s">
        <v>108</v>
      </c>
      <c r="B9" s="63"/>
      <c r="C9" s="63"/>
      <c r="D9" s="63"/>
      <c r="E9" s="64"/>
    </row>
    <row r="10" spans="1:5">
      <c r="A10" s="66"/>
      <c r="B10" s="67"/>
      <c r="C10" s="67"/>
      <c r="D10" s="67"/>
      <c r="E10" s="67"/>
    </row>
    <row r="11" spans="1:5">
      <c r="A11" s="66"/>
      <c r="B11" s="67"/>
      <c r="C11" s="67"/>
      <c r="D11" s="67"/>
      <c r="E11" s="67"/>
    </row>
    <row r="12" spans="1:5" ht="15.75">
      <c r="A12" s="68" t="s">
        <v>109</v>
      </c>
      <c r="B12" s="67"/>
      <c r="C12" s="69" t="str">
        <f>IF(B13="MYREGION",IF('[3]User Add-in Location'!F23=0,"Error - No Regional multiplier data in User Add-in Location",""),IF(B13="MYCOUNTY",IF('[3]User Add-in Location'!E23=0,"Error - No County multiplier data in User Add-in Location",""),""))</f>
        <v/>
      </c>
      <c r="D12" s="70"/>
      <c r="E12" s="67"/>
    </row>
    <row r="13" spans="1:5">
      <c r="A13" s="66" t="s">
        <v>110</v>
      </c>
      <c r="B13" s="71" t="s">
        <v>243</v>
      </c>
      <c r="C13" s="72" t="str">
        <f>IF(B13="MYREGION",IF('[3]User Add-in Location'!F23=0,"",IF(B13="MYREGION","          Enter Region Population","")),IF(B13="MYCOUNTY",IF('[3]User Add-in Location'!E23=0,"",IF(B13="MYCOUNTY","                Enter County Population","")),""))</f>
        <v/>
      </c>
      <c r="D13" s="73"/>
      <c r="E13" s="67"/>
    </row>
    <row r="14" spans="1:5">
      <c r="A14" s="74" t="s">
        <v>111</v>
      </c>
      <c r="B14" s="75"/>
      <c r="C14" s="72"/>
      <c r="D14" s="69" t="str">
        <f>IF(C13="","",IF(B14&lt;1,"**Error - Population Data Missing**",""))</f>
        <v/>
      </c>
      <c r="E14" s="67"/>
    </row>
    <row r="15" spans="1:5">
      <c r="A15" s="66" t="s">
        <v>112</v>
      </c>
      <c r="B15" s="76">
        <v>2009</v>
      </c>
      <c r="C15" s="72" t="str">
        <f>IF(B15&gt;2030,"     **Error - Year of Construction exceeds 2030 - please revise**","")</f>
        <v/>
      </c>
      <c r="D15" s="70"/>
      <c r="E15" s="67"/>
    </row>
    <row r="16" spans="1:5">
      <c r="A16" s="66" t="s">
        <v>113</v>
      </c>
      <c r="B16" s="77">
        <v>100</v>
      </c>
      <c r="C16" s="69" t="str">
        <f>IF(B$17&gt;1," **Note: Modeling results are calculated based on 'Total Project Size'.","")</f>
        <v/>
      </c>
      <c r="D16" s="67"/>
      <c r="E16" s="67"/>
    </row>
    <row r="17" spans="1:9">
      <c r="A17" s="78" t="s">
        <v>114</v>
      </c>
      <c r="B17" s="77">
        <v>1</v>
      </c>
      <c r="C17" s="69" t="str">
        <f>IF(B$17&gt;1,"   The 'Number of Projects' entered does not change the calculation.**","")</f>
        <v/>
      </c>
      <c r="D17" s="67"/>
      <c r="E17" s="67"/>
    </row>
    <row r="18" spans="1:9">
      <c r="A18" s="66" t="s">
        <v>115</v>
      </c>
      <c r="B18" s="75">
        <v>2000</v>
      </c>
      <c r="C18" s="69" t="str">
        <f>IF(B$17&gt;1,"   Due to economies of scale for projects above 20 MW, Users are ","")</f>
        <v/>
      </c>
      <c r="D18" s="79"/>
      <c r="E18" s="67"/>
    </row>
    <row r="19" spans="1:9">
      <c r="A19" s="66" t="s">
        <v>116</v>
      </c>
      <c r="B19" s="80">
        <v>50</v>
      </c>
      <c r="C19" s="69" t="str">
        <f>IF(B$17&gt;1,"   encouraged to analyze projects individually rather than as a group. ","")</f>
        <v/>
      </c>
      <c r="D19" s="79"/>
      <c r="E19" s="72"/>
    </row>
    <row r="20" spans="1:9">
      <c r="A20" s="66" t="s">
        <v>117</v>
      </c>
      <c r="B20" s="81">
        <v>2032.0135593072343</v>
      </c>
      <c r="C20" s="82"/>
      <c r="D20" s="69" t="str">
        <f>IF(B$21&lt;[3]DefaultData!AS$53,"  Please review O&amp;M Materials &amp; Services parameters; ","")</f>
        <v xml:space="preserve">  Please review O&amp;M Materials &amp; Services parameters; </v>
      </c>
      <c r="E20" s="72"/>
    </row>
    <row r="21" spans="1:9">
      <c r="A21" s="66" t="s">
        <v>118</v>
      </c>
      <c r="B21" s="83">
        <v>19.822626779997869</v>
      </c>
      <c r="C21" s="82"/>
      <c r="D21" s="69" t="str">
        <f>IF(B$21&lt;[3]DefaultData!AS$53,"  costs may be below industry standards.**","")</f>
        <v xml:space="preserve">  costs may be below industry standards.**</v>
      </c>
      <c r="E21" s="67"/>
    </row>
    <row r="22" spans="1:9">
      <c r="A22" s="66" t="s">
        <v>119</v>
      </c>
      <c r="B22" s="84">
        <v>2008</v>
      </c>
      <c r="C22" s="82" t="str">
        <f>IF($B$22&gt;2030,"     **Error - Money Value (Dollar Year) Exceeds 2030 - please revise**",IF(B22&lt;1996,"     **Error - Money Value (Dollar Year) is Below 1996 - please revise**",""))</f>
        <v/>
      </c>
      <c r="D22" s="79"/>
      <c r="E22" s="67"/>
    </row>
    <row r="23" spans="1:9">
      <c r="A23" s="61"/>
      <c r="B23" s="82"/>
      <c r="C23" s="61"/>
      <c r="D23" s="85"/>
      <c r="E23" s="67"/>
    </row>
    <row r="24" spans="1:9">
      <c r="A24" s="486" t="s">
        <v>120</v>
      </c>
      <c r="B24" s="86" t="s">
        <v>121</v>
      </c>
      <c r="C24" s="67"/>
      <c r="D24" s="87" t="str">
        <f>IF($B$24="y","Press 'Go To Summary Impacts' Button",IF($B$24="N","Modify Project Cost Data (change data below)","Error - Re-enter 'Y' or 'N'"))</f>
        <v>Modify Project Cost Data (change data below)</v>
      </c>
      <c r="E24" s="67"/>
    </row>
    <row r="25" spans="1:9">
      <c r="A25" s="487"/>
      <c r="B25" s="88"/>
      <c r="C25" s="67"/>
      <c r="D25" s="67"/>
      <c r="E25" s="67"/>
    </row>
    <row r="26" spans="1:9" ht="24" customHeight="1">
      <c r="A26" s="487"/>
      <c r="B26" s="88"/>
      <c r="C26" s="67"/>
      <c r="D26" s="67"/>
      <c r="E26" s="67"/>
    </row>
    <row r="27" spans="1:9">
      <c r="A27" s="488" t="s">
        <v>122</v>
      </c>
      <c r="B27" s="489"/>
      <c r="C27" s="489"/>
      <c r="D27" s="489"/>
      <c r="E27" s="489"/>
    </row>
    <row r="28" spans="1:9">
      <c r="A28" s="89"/>
      <c r="B28" s="88"/>
      <c r="C28" s="67"/>
      <c r="D28" s="67"/>
      <c r="E28" s="67"/>
    </row>
    <row r="29" spans="1:9" ht="15.75">
      <c r="A29" s="90" t="s">
        <v>123</v>
      </c>
      <c r="B29" s="67"/>
      <c r="C29" s="67"/>
      <c r="D29" s="67"/>
      <c r="E29" s="67"/>
    </row>
    <row r="30" spans="1:9">
      <c r="A30" s="72"/>
      <c r="B30" s="67"/>
      <c r="C30" s="91" t="s">
        <v>124</v>
      </c>
      <c r="D30" s="66" t="s">
        <v>125</v>
      </c>
      <c r="E30" s="92"/>
      <c r="I30" s="187" t="s">
        <v>84</v>
      </c>
    </row>
    <row r="31" spans="1:9">
      <c r="A31" s="89" t="s">
        <v>126</v>
      </c>
      <c r="B31" s="92" t="s">
        <v>84</v>
      </c>
      <c r="C31" s="91" t="s">
        <v>127</v>
      </c>
      <c r="D31" s="66" t="s">
        <v>128</v>
      </c>
      <c r="E31" s="92" t="s">
        <v>129</v>
      </c>
      <c r="I31" s="187" t="s">
        <v>247</v>
      </c>
    </row>
    <row r="32" spans="1:9">
      <c r="A32" s="93" t="s">
        <v>130</v>
      </c>
      <c r="B32" s="94"/>
      <c r="C32" s="95"/>
      <c r="D32" s="96"/>
      <c r="E32" s="97"/>
      <c r="I32" s="177"/>
    </row>
    <row r="33" spans="1:9">
      <c r="A33" s="98" t="s">
        <v>131</v>
      </c>
      <c r="B33" s="99">
        <v>91066790.109365597</v>
      </c>
      <c r="C33" s="95">
        <v>910.66790109365593</v>
      </c>
      <c r="D33" s="96">
        <v>0.4480751480118082</v>
      </c>
      <c r="E33" s="100">
        <v>0</v>
      </c>
      <c r="I33" s="177">
        <f>C33*$B$18</f>
        <v>1821335.8021873119</v>
      </c>
    </row>
    <row r="34" spans="1:9">
      <c r="A34" s="101" t="s">
        <v>132</v>
      </c>
      <c r="B34" s="99">
        <v>21319984.306540441</v>
      </c>
      <c r="C34" s="95">
        <v>213.19984306540439</v>
      </c>
      <c r="D34" s="96">
        <v>0.1049005363238347</v>
      </c>
      <c r="E34" s="100">
        <v>0</v>
      </c>
      <c r="I34" s="177">
        <f>C34*$B$18</f>
        <v>426399.68613080878</v>
      </c>
    </row>
    <row r="35" spans="1:9">
      <c r="A35" s="101" t="s">
        <v>133</v>
      </c>
      <c r="B35" s="99">
        <v>23604268.339384057</v>
      </c>
      <c r="C35" s="95">
        <v>236.04268339384058</v>
      </c>
      <c r="D35" s="96">
        <v>0.1161398795013884</v>
      </c>
      <c r="E35" s="100">
        <v>0</v>
      </c>
      <c r="I35" s="177">
        <f>C35*$B$18</f>
        <v>472085.36678768118</v>
      </c>
    </row>
    <row r="36" spans="1:9">
      <c r="A36" s="101" t="s">
        <v>134</v>
      </c>
      <c r="B36" s="99">
        <v>16294559.43428448</v>
      </c>
      <c r="C36" s="95">
        <v>162.9455943428448</v>
      </c>
      <c r="D36" s="96">
        <v>8.0173981333216515E-2</v>
      </c>
      <c r="E36" s="100">
        <v>0</v>
      </c>
      <c r="I36" s="177">
        <f>C36*$B$18</f>
        <v>325891.18868568959</v>
      </c>
    </row>
    <row r="37" spans="1:9">
      <c r="A37" s="98" t="s">
        <v>135</v>
      </c>
      <c r="B37" s="160">
        <v>152285602.18957457</v>
      </c>
      <c r="C37" s="102">
        <v>1522.8560218957457</v>
      </c>
      <c r="D37" s="103">
        <v>0.74928954517024782</v>
      </c>
      <c r="E37" s="97"/>
      <c r="F37" s="181">
        <f>SUM(B37)</f>
        <v>152285602.18957457</v>
      </c>
      <c r="I37" s="177">
        <f>C37*$B$18</f>
        <v>3045712.0437914915</v>
      </c>
    </row>
    <row r="38" spans="1:9">
      <c r="A38" s="104" t="s">
        <v>136</v>
      </c>
      <c r="B38" s="94"/>
      <c r="C38" s="102"/>
      <c r="D38" s="103"/>
      <c r="E38" s="103"/>
      <c r="I38" s="177"/>
    </row>
    <row r="39" spans="1:9">
      <c r="A39" s="101" t="s">
        <v>137</v>
      </c>
      <c r="B39" s="67"/>
      <c r="C39" s="91"/>
      <c r="D39" s="66"/>
      <c r="E39" s="92"/>
      <c r="I39" s="177"/>
    </row>
    <row r="40" spans="1:9">
      <c r="A40" s="98" t="s">
        <v>138</v>
      </c>
      <c r="B40" s="99">
        <v>22005269.811821721</v>
      </c>
      <c r="C40" s="95">
        <v>220.05269811821722</v>
      </c>
      <c r="D40" s="96">
        <v>0.10827234073069364</v>
      </c>
      <c r="E40" s="100">
        <v>0.9</v>
      </c>
      <c r="I40" s="177">
        <f>C40*$B$18</f>
        <v>440105.39623643446</v>
      </c>
    </row>
    <row r="41" spans="1:9">
      <c r="A41" s="101" t="s">
        <v>139</v>
      </c>
      <c r="B41" s="99">
        <v>2489252.2217366141</v>
      </c>
      <c r="C41" s="95">
        <v>24.892522217366142</v>
      </c>
      <c r="D41" s="96">
        <v>1.2247846403215298E-2</v>
      </c>
      <c r="E41" s="100">
        <v>0</v>
      </c>
      <c r="I41" s="177">
        <f>C41*$B$18</f>
        <v>49785.044434732285</v>
      </c>
    </row>
    <row r="42" spans="1:9">
      <c r="A42" s="101" t="s">
        <v>140</v>
      </c>
      <c r="B42" s="99">
        <v>2623840.0433193394</v>
      </c>
      <c r="C42" s="95">
        <v>26.238400433193394</v>
      </c>
      <c r="D42" s="96">
        <v>1.2910057709925935E-2</v>
      </c>
      <c r="E42" s="100">
        <v>1</v>
      </c>
      <c r="I42" s="177">
        <f>C42*$B$18</f>
        <v>52476.800866386788</v>
      </c>
    </row>
    <row r="43" spans="1:9">
      <c r="A43" s="101" t="s">
        <v>141</v>
      </c>
      <c r="B43" s="99">
        <v>4792880.4022677857</v>
      </c>
      <c r="C43" s="95">
        <v>47.928804022677859</v>
      </c>
      <c r="D43" s="96">
        <v>2.3582368425085952E-2</v>
      </c>
      <c r="E43" s="100">
        <v>0.7</v>
      </c>
      <c r="I43" s="177">
        <f>C43*$B$18</f>
        <v>95857.608045355722</v>
      </c>
    </row>
    <row r="44" spans="1:9">
      <c r="A44" s="98" t="s">
        <v>142</v>
      </c>
      <c r="B44" s="94">
        <v>31911242.47914546</v>
      </c>
      <c r="C44" s="95">
        <v>319.11242479145466</v>
      </c>
      <c r="D44" s="103">
        <v>0.15701261326892083</v>
      </c>
      <c r="E44" s="97"/>
      <c r="I44" s="177">
        <f>C44*$B$18</f>
        <v>638224.84958290926</v>
      </c>
    </row>
    <row r="45" spans="1:9">
      <c r="A45" s="101" t="s">
        <v>143</v>
      </c>
      <c r="B45" s="105" t="s">
        <v>244</v>
      </c>
      <c r="C45" s="95"/>
      <c r="D45" s="96"/>
      <c r="E45" s="106"/>
      <c r="I45" s="177"/>
    </row>
    <row r="46" spans="1:9">
      <c r="A46" s="101" t="s">
        <v>144</v>
      </c>
      <c r="B46" s="99">
        <v>1215941.7097403249</v>
      </c>
      <c r="C46" s="95">
        <v>12.159417097403249</v>
      </c>
      <c r="D46" s="96">
        <v>5.9827875882230621E-3</v>
      </c>
      <c r="E46" s="100">
        <v>0.95</v>
      </c>
      <c r="I46" s="177">
        <f t="shared" ref="I46:I51" si="0">C46*$B$18</f>
        <v>24318.834194806499</v>
      </c>
    </row>
    <row r="47" spans="1:9">
      <c r="A47" s="101" t="s">
        <v>145</v>
      </c>
      <c r="B47" s="99">
        <v>1377226.5544274966</v>
      </c>
      <c r="C47" s="95">
        <v>13.772265544274966</v>
      </c>
      <c r="D47" s="96">
        <v>6.776356029237365E-3</v>
      </c>
      <c r="E47" s="100">
        <v>0.75</v>
      </c>
      <c r="I47" s="177">
        <f t="shared" si="0"/>
        <v>27544.531088549931</v>
      </c>
    </row>
    <row r="48" spans="1:9">
      <c r="A48" s="101" t="s">
        <v>146</v>
      </c>
      <c r="B48" s="99">
        <v>2007033.9170762924</v>
      </c>
      <c r="C48" s="95">
        <v>20.070339170762924</v>
      </c>
      <c r="D48" s="96">
        <v>9.8751918056919838E-3</v>
      </c>
      <c r="E48" s="100">
        <v>0.7</v>
      </c>
      <c r="I48" s="177">
        <f t="shared" si="0"/>
        <v>40140.678341525847</v>
      </c>
    </row>
    <row r="49" spans="1:9">
      <c r="A49" s="101" t="s">
        <v>147</v>
      </c>
      <c r="B49" s="99">
        <v>1041453.6116528051</v>
      </c>
      <c r="C49" s="95">
        <v>10.414536116528051</v>
      </c>
      <c r="D49" s="96">
        <v>5.124255292498458E-3</v>
      </c>
      <c r="E49" s="100">
        <v>0</v>
      </c>
      <c r="I49" s="177">
        <f t="shared" si="0"/>
        <v>20829.072233056104</v>
      </c>
    </row>
    <row r="50" spans="1:9">
      <c r="A50" s="101" t="s">
        <v>148</v>
      </c>
      <c r="B50" s="99">
        <v>7721651.52536749</v>
      </c>
      <c r="C50" s="95">
        <v>77.216515253674899</v>
      </c>
      <c r="D50" s="96">
        <v>3.7992775917209121E-2</v>
      </c>
      <c r="E50" s="100">
        <v>0.5</v>
      </c>
      <c r="I50" s="177">
        <f t="shared" si="0"/>
        <v>154433.03050734979</v>
      </c>
    </row>
    <row r="51" spans="1:9">
      <c r="A51" s="98" t="s">
        <v>149</v>
      </c>
      <c r="B51" s="107">
        <v>13363307.31826441</v>
      </c>
      <c r="C51" s="95">
        <v>133.6330731826441</v>
      </c>
      <c r="D51" s="108">
        <v>6.5751366632859992E-2</v>
      </c>
      <c r="E51" s="97"/>
      <c r="I51" s="177">
        <f t="shared" si="0"/>
        <v>267266.14636528818</v>
      </c>
    </row>
    <row r="52" spans="1:9">
      <c r="A52" s="101" t="s">
        <v>150</v>
      </c>
      <c r="B52" s="109"/>
      <c r="C52" s="95"/>
      <c r="D52" s="96"/>
      <c r="E52" s="97"/>
      <c r="I52" s="177"/>
    </row>
    <row r="53" spans="1:9">
      <c r="A53" s="101" t="s">
        <v>151</v>
      </c>
      <c r="B53" s="107"/>
      <c r="C53" s="110"/>
      <c r="D53" s="108"/>
      <c r="E53" s="97"/>
      <c r="I53" s="177"/>
    </row>
    <row r="54" spans="1:9">
      <c r="A54" s="101" t="s">
        <v>152</v>
      </c>
      <c r="B54" s="99">
        <v>1512338.0534501823</v>
      </c>
      <c r="C54" s="95">
        <v>15.123380534501823</v>
      </c>
      <c r="D54" s="96">
        <v>7.44114398157413E-3</v>
      </c>
      <c r="E54" s="100">
        <v>0.9</v>
      </c>
      <c r="I54" s="177">
        <f t="shared" ref="I54:I62" si="1">C54*$B$18</f>
        <v>30246.761069003645</v>
      </c>
    </row>
    <row r="55" spans="1:9">
      <c r="A55" s="101" t="s">
        <v>153</v>
      </c>
      <c r="B55" s="99">
        <v>463258.94792808266</v>
      </c>
      <c r="C55" s="95">
        <v>4.6325894792808269</v>
      </c>
      <c r="D55" s="96">
        <v>2.2793690368507072E-3</v>
      </c>
      <c r="E55" s="100">
        <v>0.1</v>
      </c>
      <c r="I55" s="177">
        <f t="shared" si="1"/>
        <v>9265.1789585616534</v>
      </c>
    </row>
    <row r="56" spans="1:9">
      <c r="A56" s="111" t="s">
        <v>154</v>
      </c>
      <c r="B56" s="99">
        <v>2057913.5431023589</v>
      </c>
      <c r="C56" s="95">
        <v>20.579135431023591</v>
      </c>
      <c r="D56" s="96">
        <v>1.0125534394192537E-2</v>
      </c>
      <c r="E56" s="100">
        <v>0</v>
      </c>
      <c r="I56" s="177">
        <f t="shared" si="1"/>
        <v>41158.270862047182</v>
      </c>
    </row>
    <row r="57" spans="1:9">
      <c r="A57" s="111" t="s">
        <v>155</v>
      </c>
      <c r="B57" s="99">
        <v>1121562.8809907855</v>
      </c>
      <c r="C57" s="95">
        <v>11.215628809907855</v>
      </c>
      <c r="D57" s="96">
        <v>5.5184162448349327E-3</v>
      </c>
      <c r="E57" s="100">
        <v>1</v>
      </c>
      <c r="I57" s="177">
        <f t="shared" si="1"/>
        <v>22431.257619815711</v>
      </c>
    </row>
    <row r="58" spans="1:9">
      <c r="A58" s="101" t="s">
        <v>156</v>
      </c>
      <c r="B58" s="99">
        <v>0</v>
      </c>
      <c r="C58" s="95">
        <v>0</v>
      </c>
      <c r="D58" s="96">
        <v>0</v>
      </c>
      <c r="E58" s="100">
        <v>1</v>
      </c>
      <c r="I58" s="177">
        <f t="shared" si="1"/>
        <v>0</v>
      </c>
    </row>
    <row r="59" spans="1:9">
      <c r="A59" s="101" t="s">
        <v>157</v>
      </c>
      <c r="B59" s="99">
        <v>524767.95349110174</v>
      </c>
      <c r="C59" s="95">
        <v>5.2476795349110175</v>
      </c>
      <c r="D59" s="96">
        <v>2.5820112705190979E-3</v>
      </c>
      <c r="E59" s="100">
        <v>1</v>
      </c>
      <c r="I59" s="177">
        <f t="shared" si="1"/>
        <v>10495.359069822034</v>
      </c>
    </row>
    <row r="60" spans="1:9">
      <c r="A60" s="98" t="s">
        <v>158</v>
      </c>
      <c r="B60" s="94">
        <v>5679841.3789625112</v>
      </c>
      <c r="C60" s="95">
        <v>56.798413789625116</v>
      </c>
      <c r="D60" s="103">
        <v>2.7946474927971407E-2</v>
      </c>
      <c r="E60" s="97"/>
      <c r="I60" s="177">
        <f t="shared" si="1"/>
        <v>113596.82757925022</v>
      </c>
    </row>
    <row r="61" spans="1:9">
      <c r="A61" s="112" t="s">
        <v>159</v>
      </c>
      <c r="B61" s="183">
        <v>50954391.176372379</v>
      </c>
      <c r="C61" s="95">
        <v>509.54391176372388</v>
      </c>
      <c r="D61" s="103">
        <v>0.25071045482975224</v>
      </c>
      <c r="E61" s="97"/>
      <c r="F61" s="166">
        <f>B61</f>
        <v>50954391.176372379</v>
      </c>
      <c r="I61" s="177">
        <f t="shared" si="1"/>
        <v>1019087.8235274478</v>
      </c>
    </row>
    <row r="62" spans="1:9">
      <c r="A62" s="113" t="s">
        <v>160</v>
      </c>
      <c r="B62" s="182">
        <v>203239993.36594695</v>
      </c>
      <c r="C62" s="102">
        <v>2032.3999336594695</v>
      </c>
      <c r="D62" s="103">
        <v>1</v>
      </c>
      <c r="E62" s="97"/>
      <c r="I62" s="177">
        <f t="shared" si="1"/>
        <v>4064799.867318939</v>
      </c>
    </row>
    <row r="63" spans="1:9">
      <c r="A63" s="113"/>
      <c r="B63" s="94"/>
      <c r="C63" s="61"/>
      <c r="D63" s="114"/>
      <c r="E63" s="115"/>
      <c r="I63" s="177"/>
    </row>
    <row r="64" spans="1:9" ht="15.75">
      <c r="A64" s="116" t="s">
        <v>161</v>
      </c>
      <c r="B64" s="94"/>
      <c r="C64" s="61"/>
      <c r="D64" s="114"/>
      <c r="E64" s="115"/>
      <c r="I64" s="177"/>
    </row>
    <row r="65" spans="1:9">
      <c r="A65" s="69" t="str">
        <f>D20</f>
        <v xml:space="preserve">  Please review O&amp;M Materials &amp; Services parameters; </v>
      </c>
      <c r="B65" s="67"/>
      <c r="C65" s="91" t="s">
        <v>124</v>
      </c>
      <c r="D65" s="66" t="s">
        <v>125</v>
      </c>
      <c r="E65" s="92"/>
      <c r="I65" s="187" t="s">
        <v>84</v>
      </c>
    </row>
    <row r="66" spans="1:9">
      <c r="A66" s="69" t="str">
        <f>D21</f>
        <v xml:space="preserve">  costs may be below industry standards.**</v>
      </c>
      <c r="B66" s="92" t="s">
        <v>84</v>
      </c>
      <c r="C66" s="91" t="s">
        <v>127</v>
      </c>
      <c r="D66" s="66" t="s">
        <v>128</v>
      </c>
      <c r="E66" s="92" t="s">
        <v>129</v>
      </c>
      <c r="I66" s="187" t="s">
        <v>247</v>
      </c>
    </row>
    <row r="67" spans="1:9">
      <c r="A67" s="89" t="s">
        <v>162</v>
      </c>
      <c r="B67" s="92"/>
      <c r="C67" s="91"/>
      <c r="D67" s="66"/>
      <c r="E67" s="92"/>
      <c r="I67" s="177"/>
    </row>
    <row r="68" spans="1:9">
      <c r="A68" s="117" t="s">
        <v>163</v>
      </c>
      <c r="B68" s="105" t="s">
        <v>244</v>
      </c>
      <c r="C68" s="91"/>
      <c r="D68" s="66"/>
      <c r="E68" s="92"/>
      <c r="I68" s="177"/>
    </row>
    <row r="69" spans="1:9">
      <c r="A69" s="67" t="s">
        <v>164</v>
      </c>
      <c r="B69" s="179">
        <v>274850.63111116184</v>
      </c>
      <c r="C69" s="118">
        <v>2.7485063111116186</v>
      </c>
      <c r="D69" s="103">
        <v>0.13865499974428286</v>
      </c>
      <c r="E69" s="100">
        <v>1</v>
      </c>
      <c r="I69" s="177">
        <f t="shared" ref="I69:I83" si="2">C69*$B$18</f>
        <v>5497.0126222232375</v>
      </c>
    </row>
    <row r="70" spans="1:9">
      <c r="A70" s="67" t="s">
        <v>165</v>
      </c>
      <c r="B70" s="164">
        <v>43976.100977785893</v>
      </c>
      <c r="C70" s="118">
        <v>0.43976100977785892</v>
      </c>
      <c r="D70" s="103">
        <v>2.2184799959085254E-2</v>
      </c>
      <c r="E70" s="100">
        <v>1</v>
      </c>
      <c r="I70" s="177">
        <f t="shared" si="2"/>
        <v>879.52201955571786</v>
      </c>
    </row>
    <row r="71" spans="1:9">
      <c r="A71" s="67" t="s">
        <v>166</v>
      </c>
      <c r="B71" s="164">
        <v>109940.25244446473</v>
      </c>
      <c r="C71" s="118">
        <v>1.0994025244446473</v>
      </c>
      <c r="D71" s="103">
        <v>5.5461999897713138E-2</v>
      </c>
      <c r="E71" s="100">
        <v>1</v>
      </c>
      <c r="F71" s="27">
        <f>B70+B71</f>
        <v>153916.35342225063</v>
      </c>
      <c r="I71" s="177">
        <f t="shared" si="2"/>
        <v>2198.8050488892945</v>
      </c>
    </row>
    <row r="72" spans="1:9">
      <c r="A72" s="101" t="s">
        <v>167</v>
      </c>
      <c r="B72" s="94">
        <v>428766.98453341244</v>
      </c>
      <c r="C72" s="118">
        <v>4.2876698453341247</v>
      </c>
      <c r="D72" s="103">
        <v>0.21630179960108126</v>
      </c>
      <c r="E72" s="97"/>
      <c r="F72" s="27"/>
      <c r="I72" s="177">
        <f t="shared" si="2"/>
        <v>8575.3396906682501</v>
      </c>
    </row>
    <row r="73" spans="1:9">
      <c r="A73" s="113" t="s">
        <v>168</v>
      </c>
      <c r="B73" s="94"/>
      <c r="C73" s="61"/>
      <c r="D73" s="67"/>
      <c r="E73" s="97"/>
      <c r="I73" s="177"/>
    </row>
    <row r="74" spans="1:9">
      <c r="A74" s="67" t="s">
        <v>169</v>
      </c>
      <c r="B74" s="163">
        <v>44379.251348846585</v>
      </c>
      <c r="C74" s="118">
        <v>0.44379251348846582</v>
      </c>
      <c r="D74" s="103">
        <v>2.2388178842991546E-2</v>
      </c>
      <c r="E74" s="100">
        <v>1</v>
      </c>
      <c r="I74" s="177">
        <f t="shared" si="2"/>
        <v>887.58502697693166</v>
      </c>
    </row>
    <row r="75" spans="1:9">
      <c r="A75" s="119" t="s">
        <v>170</v>
      </c>
      <c r="B75" s="163">
        <v>17307.908026050165</v>
      </c>
      <c r="C75" s="118">
        <v>0.17307908026050164</v>
      </c>
      <c r="D75" s="103">
        <v>8.7313897487667005E-3</v>
      </c>
      <c r="E75" s="100">
        <v>0.8</v>
      </c>
      <c r="F75" s="168">
        <f>SUM(B74,B75,B80,B79,B81)</f>
        <v>1177381.5382848997</v>
      </c>
      <c r="G75" s="177" t="s">
        <v>235</v>
      </c>
      <c r="I75" s="177">
        <f t="shared" si="2"/>
        <v>346.15816052100331</v>
      </c>
    </row>
    <row r="76" spans="1:9">
      <c r="A76" s="120" t="s">
        <v>171</v>
      </c>
      <c r="B76" s="165">
        <v>8653.9540130250825</v>
      </c>
      <c r="C76" s="118">
        <v>8.6539540130250822E-2</v>
      </c>
      <c r="D76" s="103">
        <v>4.3656948743833503E-3</v>
      </c>
      <c r="E76" s="100">
        <v>1</v>
      </c>
      <c r="F76" s="180">
        <f>B69</f>
        <v>274850.63111116184</v>
      </c>
      <c r="G76" s="177" t="s">
        <v>236</v>
      </c>
      <c r="I76" s="177">
        <f t="shared" si="2"/>
        <v>173.07908026050166</v>
      </c>
    </row>
    <row r="77" spans="1:9">
      <c r="A77" s="121" t="s">
        <v>172</v>
      </c>
      <c r="B77" s="164">
        <v>34615.81605210033</v>
      </c>
      <c r="C77" s="118">
        <v>0.34615816052100329</v>
      </c>
      <c r="D77" s="103">
        <v>1.7462779497533401E-2</v>
      </c>
      <c r="E77" s="100">
        <v>1</v>
      </c>
      <c r="I77" s="177">
        <f t="shared" si="2"/>
        <v>692.31632104200662</v>
      </c>
    </row>
    <row r="78" spans="1:9">
      <c r="A78" s="120" t="s">
        <v>173</v>
      </c>
      <c r="B78" s="165">
        <v>332844.38511634932</v>
      </c>
      <c r="C78" s="118">
        <v>3.3284438511634931</v>
      </c>
      <c r="D78" s="103">
        <v>0.16791134132243657</v>
      </c>
      <c r="E78" s="100">
        <v>0</v>
      </c>
      <c r="F78" s="38">
        <f>SUM(B76:B78)</f>
        <v>376114.15518147475</v>
      </c>
      <c r="I78" s="177">
        <f t="shared" si="2"/>
        <v>6656.8877023269861</v>
      </c>
    </row>
    <row r="79" spans="1:9">
      <c r="A79" s="121" t="s">
        <v>174</v>
      </c>
      <c r="B79" s="163">
        <v>17307.908026050165</v>
      </c>
      <c r="C79" s="118">
        <v>0.17307908026050164</v>
      </c>
      <c r="D79" s="103">
        <v>8.7313897487667005E-3</v>
      </c>
      <c r="E79" s="100">
        <v>1</v>
      </c>
      <c r="I79" s="177">
        <f t="shared" si="2"/>
        <v>346.15816052100331</v>
      </c>
    </row>
    <row r="80" spans="1:9">
      <c r="A80" s="119" t="s">
        <v>175</v>
      </c>
      <c r="B80" s="163">
        <v>112501.40216932609</v>
      </c>
      <c r="C80" s="118">
        <v>1.1250140216932609</v>
      </c>
      <c r="D80" s="103">
        <v>5.6754033366983564E-2</v>
      </c>
      <c r="E80" s="100">
        <v>1</v>
      </c>
      <c r="F80" s="167">
        <f>SUM(B70,B71)</f>
        <v>153916.35342225063</v>
      </c>
      <c r="G80" s="177" t="s">
        <v>237</v>
      </c>
      <c r="I80" s="177">
        <f t="shared" si="2"/>
        <v>2250.0280433865219</v>
      </c>
    </row>
    <row r="81" spans="1:9">
      <c r="A81" s="119" t="s">
        <v>176</v>
      </c>
      <c r="B81" s="163">
        <v>985885.0687146266</v>
      </c>
      <c r="C81" s="118">
        <v>9.8588506871462656</v>
      </c>
      <c r="D81" s="103">
        <v>0.49735339299705705</v>
      </c>
      <c r="E81" s="100">
        <v>0.02</v>
      </c>
      <c r="F81" s="167">
        <f>SUM(B77,)</f>
        <v>34615.81605210033</v>
      </c>
      <c r="G81" s="177" t="s">
        <v>238</v>
      </c>
      <c r="I81" s="177">
        <f t="shared" si="2"/>
        <v>19717.70137429253</v>
      </c>
    </row>
    <row r="82" spans="1:9">
      <c r="A82" s="122" t="s">
        <v>177</v>
      </c>
      <c r="B82" s="94">
        <v>1553495.6934663742</v>
      </c>
      <c r="C82" s="118">
        <v>15.534956934663741</v>
      </c>
      <c r="D82" s="103">
        <v>0.78369820039891891</v>
      </c>
      <c r="E82" s="114"/>
      <c r="I82" s="177">
        <f t="shared" si="2"/>
        <v>31069.913869327484</v>
      </c>
    </row>
    <row r="83" spans="1:9">
      <c r="A83" s="66" t="s">
        <v>178</v>
      </c>
      <c r="B83" s="94">
        <v>1982262.6779997866</v>
      </c>
      <c r="C83" s="118">
        <v>19.822626779997865</v>
      </c>
      <c r="D83" s="103">
        <v>1.0000000000000002</v>
      </c>
      <c r="E83" s="67"/>
      <c r="I83" s="177">
        <f t="shared" si="2"/>
        <v>39645.253559995734</v>
      </c>
    </row>
    <row r="84" spans="1:9">
      <c r="A84" s="66"/>
      <c r="B84" s="123"/>
      <c r="C84" s="118"/>
      <c r="D84" s="67"/>
      <c r="E84" s="67"/>
    </row>
    <row r="85" spans="1:9" ht="15.75">
      <c r="A85" s="124" t="s">
        <v>179</v>
      </c>
      <c r="B85" s="67"/>
      <c r="C85" s="114"/>
      <c r="D85" s="114"/>
      <c r="E85" s="114"/>
      <c r="F85" s="175">
        <f>B103+B107</f>
        <v>1548600</v>
      </c>
      <c r="G85" s="177" t="s">
        <v>218</v>
      </c>
    </row>
    <row r="86" spans="1:9">
      <c r="A86" s="72" t="s">
        <v>180</v>
      </c>
      <c r="B86" s="67"/>
      <c r="C86" s="114"/>
      <c r="D86" s="67"/>
      <c r="E86" s="92" t="s">
        <v>129</v>
      </c>
    </row>
    <row r="87" spans="1:9">
      <c r="A87" s="72" t="s">
        <v>181</v>
      </c>
      <c r="B87" s="67"/>
      <c r="C87" s="114"/>
      <c r="D87" s="67"/>
      <c r="E87" s="67"/>
    </row>
    <row r="88" spans="1:9">
      <c r="A88" s="125" t="s">
        <v>182</v>
      </c>
      <c r="B88" s="100">
        <v>0.8</v>
      </c>
      <c r="C88" s="114"/>
      <c r="D88" s="67"/>
      <c r="E88" s="100">
        <v>0</v>
      </c>
      <c r="F88" s="184">
        <f>SUM(F85,F81,F80,F76,F75,F37,F61,)</f>
        <v>206429357.70481735</v>
      </c>
      <c r="G88" s="177" t="s">
        <v>239</v>
      </c>
    </row>
    <row r="89" spans="1:9">
      <c r="A89" s="125" t="s">
        <v>183</v>
      </c>
      <c r="B89" s="126">
        <v>10</v>
      </c>
      <c r="C89" s="114"/>
      <c r="D89" s="67"/>
      <c r="E89" s="127"/>
    </row>
    <row r="90" spans="1:9">
      <c r="A90" s="125" t="s">
        <v>184</v>
      </c>
      <c r="B90" s="169">
        <v>0.1</v>
      </c>
      <c r="C90" s="114"/>
      <c r="D90" s="67"/>
      <c r="E90" s="127"/>
    </row>
    <row r="91" spans="1:9">
      <c r="A91" s="66" t="s">
        <v>185</v>
      </c>
      <c r="B91" s="92"/>
      <c r="C91" s="114"/>
      <c r="D91" s="67"/>
      <c r="E91" s="93"/>
    </row>
    <row r="92" spans="1:9">
      <c r="A92" s="128" t="s">
        <v>186</v>
      </c>
      <c r="B92" s="129">
        <v>0.19999999999999996</v>
      </c>
      <c r="C92" s="114"/>
      <c r="D92" s="67"/>
      <c r="E92" s="93"/>
    </row>
    <row r="93" spans="1:9">
      <c r="A93" s="128" t="s">
        <v>187</v>
      </c>
      <c r="B93" s="130">
        <v>0</v>
      </c>
      <c r="C93" s="114"/>
      <c r="D93" s="67"/>
      <c r="E93" s="100">
        <v>1</v>
      </c>
    </row>
    <row r="94" spans="1:9">
      <c r="A94" s="128" t="s">
        <v>188</v>
      </c>
      <c r="B94" s="131">
        <v>1</v>
      </c>
      <c r="C94" s="114"/>
      <c r="D94" s="67"/>
      <c r="E94" s="100">
        <v>0</v>
      </c>
    </row>
    <row r="95" spans="1:9">
      <c r="A95" s="128" t="s">
        <v>189</v>
      </c>
      <c r="B95" s="130">
        <v>0.16</v>
      </c>
      <c r="C95" s="114"/>
      <c r="D95" s="67"/>
      <c r="E95" s="127"/>
    </row>
    <row r="96" spans="1:9">
      <c r="A96" s="128" t="s">
        <v>190</v>
      </c>
      <c r="B96" s="132">
        <v>10</v>
      </c>
      <c r="C96" s="114"/>
      <c r="D96" s="67"/>
      <c r="E96" s="127"/>
    </row>
    <row r="97" spans="1:5">
      <c r="A97" s="72" t="s">
        <v>191</v>
      </c>
      <c r="B97" s="114"/>
      <c r="C97" s="114"/>
      <c r="D97" s="67"/>
      <c r="E97" s="115"/>
    </row>
    <row r="98" spans="1:5">
      <c r="A98" s="133" t="s">
        <v>192</v>
      </c>
      <c r="B98" s="130" t="s">
        <v>245</v>
      </c>
      <c r="C98" s="134"/>
      <c r="D98" s="67"/>
      <c r="E98" s="127"/>
    </row>
    <row r="99" spans="1:5">
      <c r="A99" s="133" t="s">
        <v>193</v>
      </c>
      <c r="B99" s="130" t="s">
        <v>245</v>
      </c>
      <c r="C99" s="114"/>
      <c r="D99" s="67"/>
      <c r="E99" s="127"/>
    </row>
    <row r="100" spans="1:5">
      <c r="A100" s="135" t="s">
        <v>194</v>
      </c>
      <c r="B100" s="130" t="s">
        <v>245</v>
      </c>
      <c r="C100" s="114"/>
      <c r="D100" s="67"/>
      <c r="E100" s="127"/>
    </row>
    <row r="101" spans="1:5">
      <c r="A101" s="135" t="s">
        <v>195</v>
      </c>
      <c r="B101" s="136" t="s">
        <v>245</v>
      </c>
      <c r="C101" s="137"/>
      <c r="D101" s="67"/>
      <c r="E101" s="127"/>
    </row>
    <row r="102" spans="1:5">
      <c r="A102" s="138" t="s">
        <v>196</v>
      </c>
      <c r="B102" s="136">
        <v>10986</v>
      </c>
      <c r="C102" s="74" t="s">
        <v>244</v>
      </c>
      <c r="D102" s="67"/>
      <c r="E102" s="127"/>
    </row>
    <row r="103" spans="1:5">
      <c r="A103" s="133" t="s">
        <v>197</v>
      </c>
      <c r="B103" s="171">
        <v>1098600</v>
      </c>
      <c r="C103" s="94"/>
      <c r="D103" s="67"/>
      <c r="E103" s="100">
        <v>1</v>
      </c>
    </row>
    <row r="104" spans="1:5">
      <c r="A104" s="72" t="s">
        <v>198</v>
      </c>
      <c r="B104" s="67"/>
      <c r="C104" s="114"/>
      <c r="D104" s="67"/>
      <c r="E104" s="79"/>
    </row>
    <row r="105" spans="1:5">
      <c r="A105" s="139" t="s">
        <v>199</v>
      </c>
      <c r="B105" s="136">
        <v>9000</v>
      </c>
      <c r="C105" s="114"/>
      <c r="D105" s="67"/>
      <c r="E105" s="127"/>
    </row>
    <row r="106" spans="1:5">
      <c r="A106" s="140" t="s">
        <v>116</v>
      </c>
      <c r="B106" s="141">
        <f>B19</f>
        <v>50</v>
      </c>
      <c r="C106" s="114"/>
      <c r="D106" s="67"/>
      <c r="E106" s="127"/>
    </row>
    <row r="107" spans="1:5">
      <c r="A107" s="133" t="s">
        <v>200</v>
      </c>
      <c r="B107" s="170">
        <f>B105*B106</f>
        <v>450000</v>
      </c>
      <c r="C107" s="114"/>
      <c r="D107" s="67"/>
      <c r="E107" s="127"/>
    </row>
    <row r="108" spans="1:5">
      <c r="A108" s="135" t="s">
        <v>201</v>
      </c>
      <c r="B108" s="136" t="s">
        <v>246</v>
      </c>
      <c r="C108" s="67"/>
      <c r="D108" s="67"/>
      <c r="E108" s="100">
        <v>1</v>
      </c>
    </row>
    <row r="109" spans="1:5">
      <c r="A109" s="78" t="s">
        <v>202</v>
      </c>
      <c r="B109" s="142" t="s">
        <v>244</v>
      </c>
      <c r="C109" s="67"/>
      <c r="D109" s="67"/>
      <c r="E109" s="143"/>
    </row>
    <row r="110" spans="1:5">
      <c r="A110" s="78" t="s">
        <v>203</v>
      </c>
      <c r="B110" s="144" t="s">
        <v>204</v>
      </c>
      <c r="C110" s="67"/>
      <c r="D110" s="92" t="s">
        <v>205</v>
      </c>
      <c r="E110" s="143"/>
    </row>
    <row r="111" spans="1:5">
      <c r="A111" s="101" t="s">
        <v>206</v>
      </c>
      <c r="B111" s="145">
        <v>17.592240526487661</v>
      </c>
      <c r="C111" s="67"/>
      <c r="D111" s="146">
        <v>0.37606110248282032</v>
      </c>
      <c r="E111" s="105" t="s">
        <v>244</v>
      </c>
    </row>
    <row r="112" spans="1:5">
      <c r="A112" s="101" t="s">
        <v>207</v>
      </c>
      <c r="B112" s="145">
        <v>19.925709111605837</v>
      </c>
      <c r="C112" s="67"/>
      <c r="D112" s="146">
        <v>0.37606110248282032</v>
      </c>
      <c r="E112" s="143"/>
    </row>
    <row r="113" spans="1:5">
      <c r="A113" s="101" t="s">
        <v>208</v>
      </c>
      <c r="B113" s="145">
        <v>26.397963541110578</v>
      </c>
      <c r="C113" s="67"/>
      <c r="D113" s="146">
        <v>0.37606110248282032</v>
      </c>
      <c r="E113" s="143"/>
    </row>
    <row r="114" spans="1:5">
      <c r="A114" s="101" t="s">
        <v>209</v>
      </c>
      <c r="B114" s="145">
        <v>35.885481903648682</v>
      </c>
      <c r="C114" s="67"/>
      <c r="D114" s="146">
        <v>0.37606110248282032</v>
      </c>
      <c r="E114" s="143"/>
    </row>
    <row r="115" spans="1:5">
      <c r="A115" s="78" t="s">
        <v>210</v>
      </c>
      <c r="B115" s="144" t="s">
        <v>204</v>
      </c>
      <c r="C115" s="67"/>
      <c r="D115" s="92" t="s">
        <v>205</v>
      </c>
      <c r="E115" s="143"/>
    </row>
    <row r="116" spans="1:5">
      <c r="A116" s="98" t="s">
        <v>211</v>
      </c>
      <c r="B116" s="145">
        <v>24.006878447717877</v>
      </c>
      <c r="C116" s="72"/>
      <c r="D116" s="146">
        <v>0.37606110248282032</v>
      </c>
      <c r="E116" s="105" t="s">
        <v>244</v>
      </c>
    </row>
    <row r="117" spans="1:5">
      <c r="A117" s="101" t="s">
        <v>165</v>
      </c>
      <c r="B117" s="145">
        <v>15.364402206539442</v>
      </c>
      <c r="C117" s="94"/>
      <c r="D117" s="146">
        <v>0.37606110248282032</v>
      </c>
      <c r="E117" s="114"/>
    </row>
    <row r="118" spans="1:5">
      <c r="A118" s="101" t="s">
        <v>209</v>
      </c>
      <c r="B118" s="145">
        <v>38.411005516348602</v>
      </c>
      <c r="C118" s="94"/>
      <c r="D118" s="146">
        <v>0.37606110248282032</v>
      </c>
      <c r="E118" s="114"/>
    </row>
    <row r="119" spans="1:5">
      <c r="A119" s="101"/>
      <c r="B119" s="105" t="str">
        <f>IF([3]DefaultData!$N111=[3]DefaultData!D111,"","Do not change O&amp;M 'Wage per hour' without changing O&amp;M 'Labor Personnel Costs' above. " )</f>
        <v/>
      </c>
      <c r="C119" s="94"/>
      <c r="D119" s="67"/>
      <c r="E119" s="114"/>
    </row>
    <row r="120" spans="1:5">
      <c r="A120" s="135"/>
      <c r="B120" s="67"/>
      <c r="C120" s="67"/>
      <c r="D120" s="105" t="str">
        <f>IF([3]DefaultData!N$111=[3]DefaultData!D$111,"","  See comment - point cursor to red triangle in cell corner" )</f>
        <v/>
      </c>
      <c r="E120" s="114"/>
    </row>
    <row r="121" spans="1:5">
      <c r="A121" s="135"/>
      <c r="B121" s="135"/>
      <c r="C121" s="67"/>
      <c r="D121" s="147"/>
      <c r="E121" s="114"/>
    </row>
    <row r="122" spans="1:5">
      <c r="A122" s="135"/>
      <c r="B122" s="135"/>
      <c r="C122" s="67"/>
      <c r="D122" s="135"/>
      <c r="E122" s="114"/>
    </row>
  </sheetData>
  <mergeCells count="2">
    <mergeCell ref="A24:A26"/>
    <mergeCell ref="A27:E27"/>
  </mergeCells>
  <phoneticPr fontId="45"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Project LCA &amp; TEA</vt:lpstr>
      <vt:lpstr>EROI vs IRR VestOnshore2MW</vt:lpstr>
      <vt:lpstr>JEDI Project data</vt:lpstr>
      <vt:lpstr>NREL_OnlineCashFlow_SEA3.1</vt:lpstr>
      <vt:lpstr>LCA Vestas Onshore 2.0MW</vt:lpstr>
      <vt:lpstr>EconomicValueEnergy</vt:lpstr>
      <vt:lpstr>NREL_OnlineWindFinancing</vt:lpstr>
      <vt:lpstr>FinancialCalcs</vt:lpstr>
      <vt:lpstr>JEDI Project data_TX_CK</vt:lpstr>
      <vt:lpstr>_btuAv</vt:lpstr>
      <vt:lpstr>_dur</vt:lpstr>
      <vt:lpstr>_fWhAv</vt:lpstr>
      <vt:lpstr>_kW</vt:lpstr>
      <vt:lpstr>_KWturb</vt:lpstr>
      <vt:lpstr>_LWhAv</vt:lpstr>
      <vt:lpstr>_MW</vt:lpstr>
      <vt:lpstr>_WhAv</vt:lpstr>
      <vt:lpstr>_WhAvx</vt:lpstr>
      <vt:lpstr>'Project LCA &amp; TEA'!Print_Area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Carey W</dc:creator>
  <cp:lastModifiedBy>King, Carey W</cp:lastModifiedBy>
  <dcterms:created xsi:type="dcterms:W3CDTF">2009-11-30T00:48:45Z</dcterms:created>
  <dcterms:modified xsi:type="dcterms:W3CDTF">2009-12-31T23:21:40Z</dcterms:modified>
</cp:coreProperties>
</file>